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3"/>
  </bookViews>
  <sheets>
    <sheet name="Inc &amp; Exp" sheetId="1" r:id="rId1"/>
    <sheet name="Loans" sheetId="2" r:id="rId2"/>
    <sheet name="Year One Breakdown " sheetId="3" r:id="rId3"/>
    <sheet name="40 Year Breakdown" sheetId="4" r:id="rId4"/>
    <sheet name="PRINT THIS 1." sheetId="5" r:id="rId5"/>
    <sheet name="PRINT THIS 2." sheetId="6" r:id="rId6"/>
    <sheet name="PRINT THIS 3." sheetId="7" r:id="rId7"/>
    <sheet name="Change log" sheetId="8" r:id="rId8"/>
    <sheet name="c" sheetId="9" r:id="rId9"/>
  </sheets>
  <definedNames>
    <definedName name="estimatedOrActual">'c'!$E$18:$E$19</definedName>
    <definedName name="loanStckConfirmed">'c'!$B$18:$B$19</definedName>
    <definedName name="loanstockConfirmed">'c'!$B$17:$B$18</definedName>
    <definedName name="lStckConfirmed">'c'!$B$18:$B$20</definedName>
    <definedName name="_xlnm.Print_Area" localSheetId="4">'PRINT THIS 1.'!$A$1:$AB$94</definedName>
    <definedName name="_xlnm.Print_Area" localSheetId="6">'PRINT THIS 3.'!$A$1:$AT$64</definedName>
    <definedName name="SHARED_FORMULA_18_11_18_11_1">-12*(#REF!+#REF!+#REF!)</definedName>
    <definedName name="SHARED_FORMULA_19_10_19_10_1">IF(#REF!="fixed",IF(#REF!-#REF!&gt;=0,-1*#REF!,0),IF(#REF!-#REF!&gt;0,PMT((#REF!+#REF!)/12,(#REF!+1-#REF!)*12,(PV((#REF!+#REF!)/12,(#REF!-#REF!)*12,#REF!))),0))</definedName>
    <definedName name="SHARED_FORMULA_19_102_19_102_1">IF(#REF!=#REF!+#REF!,#REF!,0)</definedName>
    <definedName name="SHARED_FORMULA_19_103_19_103_1">IF(#REF!=#REF!+#REF!,#REF!,0)</definedName>
    <definedName name="SHARED_FORMULA_19_104_19_104_1">IF(#REF!=#REF!+#REF!,#REF!,0)</definedName>
    <definedName name="SHARED_FORMULA_19_105_19_105_1">IF(#REF!=#REF!+#REF!,#REF!,0)</definedName>
    <definedName name="SHARED_FORMULA_19_106_19_106_1">IF(#REF!=#REF!+#REF!,#REF!,0)</definedName>
    <definedName name="SHARED_FORMULA_19_107_19_107_1">IF(#REF!=#REF!+#REF!,#REF!,0)</definedName>
    <definedName name="SHARED_FORMULA_19_108_19_108_1">IF(#REF!=#REF!+#REF!,#REF!,0)</definedName>
    <definedName name="SHARED_FORMULA_19_13_19_13_1">#REF!+1</definedName>
    <definedName name="SHARED_FORMULA_19_30_19_30_1">SUM(#REF!)</definedName>
    <definedName name="SHARED_FORMULA_19_32_19_32_1">IF(#REF!=#REF!,#REF!,"")</definedName>
    <definedName name="SHARED_FORMULA_19_33_19_33_1">IF(#REF!=#REF!,#REF!,"")</definedName>
    <definedName name="SHARED_FORMULA_19_34_19_34_1">IF(#REF!=#REF!,#REF!,"")</definedName>
    <definedName name="SHARED_FORMULA_19_35_19_35_1">IF(#REF!=#REF!,#REF!,"")</definedName>
    <definedName name="SHARED_FORMULA_19_36_19_36_1">IF(#REF!=#REF!,#REF!,"")</definedName>
    <definedName name="SHARED_FORMULA_19_37_19_37_1">IF(#REF!=#REF!,#REF!,"")</definedName>
    <definedName name="SHARED_FORMULA_19_38_19_38_1">IF(#REF!=#REF!,#REF!,"")</definedName>
    <definedName name="SHARED_FORMULA_19_39_19_39_1">IF(#REF!=#REF!,#REF!,"")</definedName>
    <definedName name="SHARED_FORMULA_19_4_19_4_1">#REF!+1</definedName>
    <definedName name="SHARED_FORMULA_19_7_19_7_1">IF(#REF!="fixed",IF(#REF!-#REF!&gt;=0,-1*#REF!,0),IF(#REF!-#REF!&gt;0,PMT((#REF!+#REF!)/12,(#REF!+1-#REF!)*12,(PV((#REF!+#REF!)/12,(#REF!-#REF!)*12,#REF!))),0))</definedName>
    <definedName name="SHARED_FORMULA_19_8_19_8_1">IF(#REF!="fixed",IF(#REF!-#REF!&gt;=0,-1*#REF!,0),IF(#REF!-#REF!&gt;0,PMT((#REF!+#REF!)/12,(#REF!+1-#REF!)*12,(PV((#REF!+#REF!)/12,(#REF!-#REF!)*12,#REF!))),0))</definedName>
    <definedName name="SHARED_FORMULA_19_85_19_85_1">SUM(#REF!)</definedName>
    <definedName name="SHARED_FORMULA_19_89_19_89_1">IF(#REF!=#REF!,#REF!,0)</definedName>
    <definedName name="SHARED_FORMULA_19_9_19_9_1">IF(#REF!="fixed",IF(#REF!-#REF!&gt;=0,-1*#REF!,0),IF(#REF!-#REF!&gt;0,PMT((#REF!+#REF!)/12,(#REF!+1-#REF!)*12,(PV((#REF!+#REF!)/12,(#REF!-#REF!)*12,#REF!))),0))</definedName>
    <definedName name="SHARED_FORMULA_19_90_19_90_1">IF(#REF!=#REF!,#REF!,0)</definedName>
    <definedName name="SHARED_FORMULA_19_91_19_91_1">IF(#REF!=#REF!,#REF!,0)</definedName>
    <definedName name="SHARED_FORMULA_19_92_19_92_1">IF(#REF!=#REF!,#REF!,0)</definedName>
    <definedName name="SHARED_FORMULA_19_93_19_93_1">IF(#REF!=#REF!,#REF!,0)</definedName>
    <definedName name="SHARED_FORMULA_19_94_19_94_1">IF(#REF!=#REF!,#REF!,0)</definedName>
    <definedName name="SHARED_FORMULA_19_95_19_95_1">IF(#REF!=#REF!,#REF!,0)</definedName>
    <definedName name="SHARED_FORMULA_19_99_19_99_1">SUM(#REF!)</definedName>
    <definedName name="SHARED_FORMULA_20_100_20_100_1">#REF!+1</definedName>
    <definedName name="SHARED_FORMULA_20_15_20_15_1">IF(#REF!="yes",#REF!,#REF!)</definedName>
    <definedName name="SHARED_FORMULA_20_16_20_16_1">IF(#REF!="yes",#REF!,#REF!)</definedName>
    <definedName name="SHARED_FORMULA_20_17_20_17_1">IF(#REF!="yes",#REF!,#REF!)</definedName>
    <definedName name="SHARED_FORMULA_20_18_20_18_1">IF(#REF!="yes",#REF!,#REF!)</definedName>
    <definedName name="SHARED_FORMULA_20_31_20_31_1">#REF!+1</definedName>
    <definedName name="SHARED_FORMULA_20_87_20_87_1">#REF!+1</definedName>
    <definedName name="SHARED_FORMULA_26_22_26_22_2">SUM(#REF!)</definedName>
    <definedName name="SHARED_FORMULA_3_22_3_22_3">SUM(#REF!)</definedName>
    <definedName name="SHARED_FORMULA_3_44_3_44_3">#REF!-#REF!</definedName>
    <definedName name="SHARED_FORMULA_3_69_3_69_3">SUM(#REF!)</definedName>
    <definedName name="SHARED_FORMULA_33_14_33_14_3">#REF!+1</definedName>
    <definedName name="SHARED_FORMULA_33_23_33_23_3">#REF!+1</definedName>
    <definedName name="SHARED_FORMULA_33_43_33_43_3">#REF!+1</definedName>
    <definedName name="SHARED_FORMULA_35_24_35_24_6">#REF!+1</definedName>
    <definedName name="SHARED_FORMULA_35_33_35_33_6">#REF!+1</definedName>
    <definedName name="SHARED_FORMULA_35_53_35_53_6">#REF!+1</definedName>
    <definedName name="SHARED_FORMULA_4_10_4_10_3">#REF!+#REF!</definedName>
    <definedName name="SHARED_FORMULA_4_12_4_12_3">#REF!+#REF!</definedName>
    <definedName name="SHARED_FORMULA_4_20_4_20_3">#REF!*#REF!</definedName>
    <definedName name="SHARED_FORMULA_4_27_4_27_3">#REF!*#REF!</definedName>
    <definedName name="SHARED_FORMULA_4_28_4_28_3">#REF!*(1+#REF!)</definedName>
    <definedName name="SHARED_FORMULA_4_30_4_30_3">#REF!*(1+#REF!)</definedName>
    <definedName name="SHARED_FORMULA_4_31_4_31_3">#REF!*(1+#REF!)</definedName>
    <definedName name="SHARED_FORMULA_4_32_4_32_3">#REF!*(1+#REF!)</definedName>
    <definedName name="SHARED_FORMULA_4_33_4_33_3">#REF!*(1+#REF!)</definedName>
    <definedName name="SHARED_FORMULA_4_40_4_40_3">SUM(#REF!)</definedName>
    <definedName name="SHARED_FORMULA_4_42_4_42_3">SUM(#REF!)+SUM(#REF!)+SUM(#REF!)</definedName>
    <definedName name="SHARED_FORMULA_4_49_4_49_3">#REF!+#REF!-#REF!-#REF!</definedName>
    <definedName name="SHARED_FORMULA_4_8_4_8_3">#REF!+#REF!</definedName>
    <definedName name="SHARED_FORMULA_44_29_44_29_3">SUM(#REF!)</definedName>
    <definedName name="SHARED_FORMULA_5_23_5_23_0">IF(#REF!&gt;0,"estimated","")</definedName>
    <definedName name="SHARED_FORMULA_5_29_5_29_3">#REF!*(1+#REF!)</definedName>
    <definedName name="SHARED_FORMULA_5_34_5_34_3">#REF!*(1+#REF!)</definedName>
    <definedName name="SHARED_FORMULA_5_64_5_64_0">IF(#REF!&gt;0,"estimated","")</definedName>
    <definedName name="SHARED_FORMULA_5_7_5_7_3">#REF!+#REF!</definedName>
    <definedName name="SHARED_FORMULA_83_102_83_102_1">IF(#REF!=#REF!+#REF!,#REF!,0)</definedName>
    <definedName name="SHARED_FORMULA_83_103_83_103_1">IF(#REF!=#REF!+#REF!,#REF!,0)</definedName>
    <definedName name="SHARED_FORMULA_83_104_83_104_1">IF(#REF!=#REF!+#REF!,#REF!,0)</definedName>
    <definedName name="SHARED_FORMULA_83_105_83_105_1">IF(#REF!=#REF!+#REF!,#REF!,0)</definedName>
    <definedName name="SHARED_FORMULA_83_106_83_106_1">IF(#REF!=#REF!+#REF!,#REF!,0)</definedName>
    <definedName name="SHARED_FORMULA_83_107_83_107_1">IF(#REF!=#REF!+#REF!,#REF!,0)</definedName>
    <definedName name="SHARED_FORMULA_83_108_83_108_1">IF(#REF!=#REF!+#REF!,#REF!,0)</definedName>
    <definedName name="SHARED_FORMULA_83_85_83_85_1">SUM(#REF!)</definedName>
    <definedName name="SHARED_FORMULA_83_89_83_89_1">IF(#REF!=#REF!,#REF!,0)</definedName>
    <definedName name="SHARED_FORMULA_83_90_83_90_1">IF(#REF!=#REF!,#REF!,0)</definedName>
    <definedName name="SHARED_FORMULA_83_91_83_91_1">IF(#REF!=#REF!,#REF!,0)</definedName>
    <definedName name="SHARED_FORMULA_83_92_83_92_1">IF(#REF!=#REF!,#REF!,0)</definedName>
    <definedName name="SHARED_FORMULA_83_93_83_93_1">IF(#REF!=#REF!,#REF!,0)</definedName>
    <definedName name="SHARED_FORMULA_83_94_83_94_1">IF(#REF!=#REF!,#REF!,0)</definedName>
    <definedName name="SHARED_FORMULA_83_95_83_95_1">IF(#REF!=#REF!,#REF!,0)</definedName>
    <definedName name="SHARED_FORMULA_83_99_83_99_1">SUM(#REF!)</definedName>
    <definedName name="SHARED_FORMULA_84_100_84_100_1">#REF!+1</definedName>
    <definedName name="SHARED_FORMULA_84_87_84_87_1">#REF!+1</definedName>
    <definedName name="variableOrFixedRate">'c'!$H$19:$H$20</definedName>
    <definedName name="yearOneCapitalRepaymentHoliday">'c'!$M$19:$M$20</definedName>
  </definedNames>
  <calcPr fullCalcOnLoad="1"/>
</workbook>
</file>

<file path=xl/comments1.xml><?xml version="1.0" encoding="utf-8"?>
<comments xmlns="http://schemas.openxmlformats.org/spreadsheetml/2006/main">
  <authors>
    <author/>
  </authors>
  <commentList>
    <comment ref="F25" authorId="0">
      <text>
        <r>
          <rPr>
            <b/>
            <sz val="8"/>
            <color indexed="8"/>
            <rFont val="Tahoma"/>
            <family val="2"/>
          </rPr>
          <t>This should be set around 10% as a guide, but depends on how easy you think it will be to find people to move in that you want to share your house with!
The more rooms a property has the lower this percentage can be acceptably as the fraction of emptiness when someone moves out  is less for larger co-ops. eg One person moving out of a 5 bedroom house is 20% of the total rental income whilst 1 person out of a 10 bedroom house is 10%.
If the co-op is regarded to be in a 'busy' location where many people will want to live voids can maybe alos be reduced. Likewise a countryside location may suggest that it will be harder to find new members and voids should go up.</t>
        </r>
      </text>
    </comment>
    <comment ref="F26" authorId="0">
      <text>
        <r>
          <rPr>
            <b/>
            <sz val="8"/>
            <color indexed="8"/>
            <rFont val="Tahoma"/>
            <family val="2"/>
          </rPr>
          <t>Please mark whether the figure is estimated or actual</t>
        </r>
      </text>
    </comment>
    <comment ref="F27" authorId="0">
      <text>
        <r>
          <rPr>
            <b/>
            <sz val="8"/>
            <color indexed="8"/>
            <rFont val="Tahoma"/>
            <family val="2"/>
          </rPr>
          <t>Please mark whether the figure is estimated or actual</t>
        </r>
      </text>
    </comment>
    <comment ref="F28" authorId="0">
      <text>
        <r>
          <rPr>
            <b/>
            <sz val="8"/>
            <color indexed="8"/>
            <rFont val="Tahoma"/>
            <family val="2"/>
          </rPr>
          <t>Please mark whether the figure is estimated or actual</t>
        </r>
      </text>
    </comment>
    <comment ref="F29" authorId="0">
      <text>
        <r>
          <rPr>
            <b/>
            <sz val="8"/>
            <color indexed="8"/>
            <rFont val="Tahoma"/>
            <family val="2"/>
          </rPr>
          <t>Please mark whether the figure is estimated or actual</t>
        </r>
      </text>
    </comment>
    <comment ref="F30" authorId="0">
      <text>
        <r>
          <rPr>
            <b/>
            <sz val="8"/>
            <color indexed="8"/>
            <rFont val="Tahoma"/>
            <family val="2"/>
          </rPr>
          <t>Please mark whether the figure is estimated or actual</t>
        </r>
      </text>
    </comment>
    <comment ref="F31" authorId="0">
      <text>
        <r>
          <rPr>
            <b/>
            <sz val="8"/>
            <color indexed="8"/>
            <rFont val="Tahoma"/>
            <family val="2"/>
          </rPr>
          <t>Please mark whether the figure is estimated or actual</t>
        </r>
      </text>
    </comment>
    <comment ref="F32" authorId="0">
      <text>
        <r>
          <rPr>
            <b/>
            <sz val="8"/>
            <color indexed="8"/>
            <rFont val="Tahoma"/>
            <family val="2"/>
          </rPr>
          <t>Please mark whether the figure is estimated or actual</t>
        </r>
      </text>
    </comment>
    <comment ref="F52" authorId="0">
      <text>
        <r>
          <rPr>
            <b/>
            <sz val="8"/>
            <color indexed="8"/>
            <rFont val="Tahoma"/>
            <family val="2"/>
          </rPr>
          <t>Please mark whether the figure is estimated or actual</t>
        </r>
      </text>
    </comment>
    <comment ref="F64" authorId="0">
      <text>
        <r>
          <rPr>
            <b/>
            <sz val="8"/>
            <color indexed="8"/>
            <rFont val="Tahoma"/>
            <family val="2"/>
          </rPr>
          <t>Please mark whether the figure is estimated or actual</t>
        </r>
      </text>
    </comment>
    <comment ref="F67" authorId="0">
      <text>
        <r>
          <rPr>
            <b/>
            <sz val="8"/>
            <color indexed="8"/>
            <rFont val="Tahoma"/>
            <family val="2"/>
          </rPr>
          <t>Please mark whether the figure is estimated or actual</t>
        </r>
      </text>
    </comment>
    <comment ref="F68" authorId="0">
      <text>
        <r>
          <rPr>
            <b/>
            <sz val="8"/>
            <color indexed="8"/>
            <rFont val="Tahoma"/>
            <family val="2"/>
          </rPr>
          <t>Please mark whether the figure is estimated or actual</t>
        </r>
      </text>
    </comment>
    <comment ref="F69" authorId="0">
      <text>
        <r>
          <rPr>
            <b/>
            <sz val="8"/>
            <color indexed="8"/>
            <rFont val="Tahoma"/>
            <family val="2"/>
          </rPr>
          <t>Please mark whether the figure is estimated or actual</t>
        </r>
      </text>
    </comment>
    <comment ref="F70" authorId="0">
      <text>
        <r>
          <rPr>
            <b/>
            <sz val="8"/>
            <color indexed="8"/>
            <rFont val="Tahoma"/>
            <family val="2"/>
          </rPr>
          <t>Please mark whether the figure is estimated or actual</t>
        </r>
      </text>
    </comment>
    <comment ref="F71" authorId="0">
      <text>
        <r>
          <rPr>
            <b/>
            <sz val="8"/>
            <color indexed="8"/>
            <rFont val="Tahoma"/>
            <family val="2"/>
          </rPr>
          <t>Please mark whether the figure is estimated or actual</t>
        </r>
      </text>
    </comment>
    <comment ref="F72" authorId="0">
      <text>
        <r>
          <rPr>
            <b/>
            <sz val="8"/>
            <color indexed="8"/>
            <rFont val="Tahoma"/>
            <family val="2"/>
          </rPr>
          <t>Please mark whether the figure is estimated or actual</t>
        </r>
      </text>
    </comment>
    <comment ref="F75" authorId="0">
      <text>
        <r>
          <rPr>
            <b/>
            <sz val="8"/>
            <color indexed="8"/>
            <rFont val="Tahoma"/>
            <family val="2"/>
          </rPr>
          <t>Please mark whether the figure is estimated or actual</t>
        </r>
      </text>
    </comment>
    <comment ref="F76" authorId="0">
      <text>
        <r>
          <rPr>
            <b/>
            <sz val="8"/>
            <color indexed="8"/>
            <rFont val="Tahoma"/>
            <family val="2"/>
          </rPr>
          <t>Please mark whether the figure is estimated or actual</t>
        </r>
      </text>
    </comment>
    <comment ref="F77" authorId="0">
      <text>
        <r>
          <rPr>
            <b/>
            <sz val="8"/>
            <color indexed="8"/>
            <rFont val="Tahoma"/>
            <family val="2"/>
          </rPr>
          <t>Please mark whether the figure is estimated or actual</t>
        </r>
      </text>
    </comment>
    <comment ref="G26" authorId="0">
      <text>
        <r>
          <rPr>
            <b/>
            <sz val="8"/>
            <color indexed="8"/>
            <rFont val="Tahoma"/>
            <family val="2"/>
          </rPr>
          <t>Probably at least £1000
best to go off recent quotes - it depends on the value of the property and location in country. 
Sometimes FG ask for a letter to prove the value is realistic</t>
        </r>
      </text>
    </comment>
    <comment ref="G60" authorId="0">
      <text>
        <r>
          <rPr>
            <b/>
            <sz val="8"/>
            <color indexed="8"/>
            <rFont val="Tahoma"/>
            <family val="2"/>
          </rPr>
          <t>If this value is above zero then you will need to find guarantors for the amount shown and provide evidence of this.
RR works this out like so: If the total amount borrowed in mortgage and RR loan is above 90% of the purchase price, then the amount that needs to be guaranteed  is 120% of that amount above 90% of the purchase price.
Ie
Amount guaranteed = 1.2 * ( ( rrloan + mortgage) - (0.9 * purchase price ) ).</t>
        </r>
      </text>
    </comment>
  </commentList>
</comments>
</file>

<file path=xl/comments2.xml><?xml version="1.0" encoding="utf-8"?>
<comments xmlns="http://schemas.openxmlformats.org/spreadsheetml/2006/main">
  <authors>
    <author/>
  </authors>
  <commentList>
    <comment ref="D8" authorId="0">
      <text>
        <r>
          <rPr>
            <b/>
            <sz val="8"/>
            <color indexed="8"/>
            <rFont val="Tahoma"/>
            <family val="2"/>
          </rPr>
          <t>the interest rate that this loan runs at can be seen in each year of the 40 yera breakdown</t>
        </r>
      </text>
    </comment>
    <comment ref="D25" authorId="0">
      <text>
        <r>
          <rPr>
            <b/>
            <sz val="8"/>
            <color indexed="8"/>
            <rFont val="Tahoma"/>
            <family val="2"/>
          </rPr>
          <t>For all loanstock, please mark whether it is actual or estimated...</t>
        </r>
      </text>
    </comment>
    <comment ref="D92" authorId="0">
      <text>
        <r>
          <rPr>
            <b/>
            <sz val="8"/>
            <color indexed="8"/>
            <rFont val="Tahoma"/>
            <family val="2"/>
          </rPr>
          <t xml:space="preserve">You can change the start year for any of these loanstock re-issues to anything between 2 and 30.
Although it's probably easiest to leave them at the set values of 5, 10, 15, 20 etc unless you really need to...
</t>
        </r>
      </text>
    </comment>
    <comment ref="E23" authorId="0">
      <text>
        <r>
          <rPr>
            <b/>
            <sz val="8"/>
            <color indexed="8"/>
            <rFont val="Tahoma"/>
            <family val="2"/>
          </rPr>
          <t xml:space="preserve">You can change the length of each of these loanstock issues to anything you like up to 40 years.
If you don't know why you would want to ( and you probably won't) just leave them at the default of 3,5,10,15,20,25,30 &amp; 35 years </t>
        </r>
      </text>
    </comment>
    <comment ref="E92" authorId="0">
      <text>
        <r>
          <rPr>
            <b/>
            <sz val="8"/>
            <color indexed="8"/>
            <rFont val="Tahoma"/>
            <family val="2"/>
          </rPr>
          <t>You can change the length of each of these loanstock re-issues to anything you want, but you should probably keep it at 10 years.
Beware that making re-issues of loanstock ( that are longer than ten years, near the end of the model ( past 30 years ) menas the model can't predict what happens.</t>
        </r>
      </text>
    </comment>
    <comment ref="J6" authorId="0">
      <text>
        <r>
          <rPr>
            <b/>
            <sz val="8"/>
            <color indexed="8"/>
            <rFont val="Tahoma"/>
            <family val="2"/>
          </rPr>
          <t xml:space="preserve">this only works for loans treated as a 'fixed' rate, such as the radical routes loan
If you use it on varible loans then the loans yearly repayment will be calculated at the last years interest rate.
TIHS WILL GIVE INACCURATE RESULTS ! :-)
</t>
        </r>
      </text>
    </comment>
  </commentList>
</comments>
</file>

<file path=xl/comments4.xml><?xml version="1.0" encoding="utf-8"?>
<comments xmlns="http://schemas.openxmlformats.org/spreadsheetml/2006/main">
  <authors>
    <author/>
  </authors>
  <commentList>
    <comment ref="C3" authorId="0">
      <text>
        <r>
          <rPr>
            <b/>
            <sz val="8"/>
            <color indexed="8"/>
            <rFont val="Tahoma"/>
            <family val="2"/>
          </rPr>
          <t xml:space="preserve">This is the estimated average rate of inflation that the model works within.
Now 4% in jan 2012
</t>
        </r>
      </text>
    </comment>
    <comment ref="C7"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8" authorId="0">
      <text>
        <r>
          <rPr>
            <b/>
            <sz val="8"/>
            <color indexed="8"/>
            <rFont val="Tahoma"/>
            <family val="2"/>
          </rPr>
          <t>This row shows the rate of the main mortgage type loan for the year that is actually applied on the loan
( loan 1 of the four rows that you can use in the loans sheet )</t>
        </r>
      </text>
    </comment>
    <comment ref="C10"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12"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We suggest £5 increase every 5 years at least in 2010.
</t>
        </r>
      </text>
    </comment>
    <comment ref="D10" authorId="0">
      <text>
        <r>
          <rPr>
            <b/>
            <sz val="8"/>
            <color indexed="8"/>
            <rFont val="Tahoma"/>
            <family val="2"/>
          </rPr>
          <t xml:space="preserve"> you can't change voids for the first year as this is taken account of in the year one breakdown</t>
        </r>
      </text>
    </comment>
    <comment ref="D20" authorId="0">
      <text>
        <r>
          <rPr>
            <b/>
            <sz val="8"/>
            <color indexed="8"/>
            <rFont val="Tahoma"/>
            <family val="2"/>
          </rPr>
          <t xml:space="preserve">The first years rental income comes from the year one breakdown.
Thereafter it comes from the inc&amp;exp sheet maximum rent values and voids are applied
</t>
        </r>
      </text>
    </comment>
    <comment ref="D28" authorId="0">
      <text>
        <r>
          <rPr>
            <b/>
            <sz val="8"/>
            <color indexed="8"/>
            <rFont val="Tahoma"/>
            <family val="2"/>
          </rPr>
          <t xml:space="preserve">ZERO VOIDS FOR 1ST YEAR AS TAKEN INTO ACCOUNT IN ONE YEAR BREAKDOWN
</t>
        </r>
      </text>
    </comment>
    <comment ref="F3" authorId="0">
      <text>
        <r>
          <rPr>
            <b/>
            <sz val="8"/>
            <color indexed="8"/>
            <rFont val="Tahoma"/>
            <family val="2"/>
          </rPr>
          <t>If this value is above zero then you will need to find guarantors for the amount shown and provide evidence of this to get the loan.
If the total amount borrowed in mortgage and RR loan is above 90% of the purchase price :
Then the amount that needs to be guaranteed  is 120% of that amount above 90% of the purchase price.
amount guaranteed = 1.2 * ( ( rrloan + mortgage) - (0.9 * purchase price ) )</t>
        </r>
      </text>
    </comment>
  </commentList>
</comments>
</file>

<file path=xl/comments7.xml><?xml version="1.0" encoding="utf-8"?>
<comments xmlns="http://schemas.openxmlformats.org/spreadsheetml/2006/main">
  <authors>
    <author/>
  </authors>
  <commentList>
    <comment ref="B14" authorId="0">
      <text>
        <r>
          <rPr>
            <b/>
            <sz val="8"/>
            <color indexed="8"/>
            <rFont val="Tahoma"/>
            <family val="2"/>
          </rPr>
          <t xml:space="preserve">This is the estimated average rate of inflation that the model works within.
4% in Jan 2012
</t>
        </r>
      </text>
    </comment>
    <comment ref="C18"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19" authorId="0">
      <text>
        <r>
          <rPr>
            <b/>
            <sz val="8"/>
            <color indexed="8"/>
            <rFont val="Tahoma"/>
            <family val="2"/>
          </rPr>
          <t>This row shows the adjusted rate of the main mortgage type loan 
( loan 1 of the four rows that you can use in the loans sheet )</t>
        </r>
      </text>
    </comment>
    <comment ref="C21"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23"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 ref="Y18"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Y21"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Y23"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List>
</comments>
</file>

<file path=xl/sharedStrings.xml><?xml version="1.0" encoding="utf-8"?>
<sst xmlns="http://schemas.openxmlformats.org/spreadsheetml/2006/main" count="661" uniqueCount="344">
  <si>
    <t>Money IN and OUT</t>
  </si>
  <si>
    <t>V 2.6.1 - IS THIS THE LATEST VERSION OF THE MODEL SPREADSHEET?</t>
  </si>
  <si>
    <t>IF YOU'RE NOT SURE - PLEASE ASK THE RADICAL ROUTES FINANCE GROUP TO MAKE SURE YOU'RE NOT USING AN OLD VERSION</t>
  </si>
  <si>
    <t>YOU USE THIS SPREADSHEET AT YOUR OWN RISK, WE HAVE DONE OUR BEST TO MAKE SURE THERE ARE NO ERRORS BUT WE ARE UNPAID VOLUNTEERS</t>
  </si>
  <si>
    <t xml:space="preserve"> IF IT CALCULATES ANYTHING WRONG IT'S NOT OUR FAULT !</t>
  </si>
  <si>
    <t>rrfinance@lists.riseup.net</t>
  </si>
  <si>
    <t>www.radicalroutes.org.uk</t>
  </si>
  <si>
    <t xml:space="preserve">Please mark whether figures are estimated or actual as this helps when assessing </t>
  </si>
  <si>
    <t>Property Info</t>
  </si>
  <si>
    <t>House postcode</t>
  </si>
  <si>
    <t>Enter the postcode of the house you are thinking of buying - this allows us to get more accurate information on council tax or LHA for example.</t>
  </si>
  <si>
    <t>Web address of property online</t>
  </si>
  <si>
    <t>enter a web address where the property can be seen online.</t>
  </si>
  <si>
    <t>Ongoing</t>
  </si>
  <si>
    <t>Income</t>
  </si>
  <si>
    <t>Rent (£ per week)</t>
  </si>
  <si>
    <t># of rooms</t>
  </si>
  <si>
    <t>Yearly</t>
  </si>
  <si>
    <t>Monthly</t>
  </si>
  <si>
    <t>Weekly</t>
  </si>
  <si>
    <t>Rent level 1</t>
  </si>
  <si>
    <t>Add the rent level &amp; number of rooms available here</t>
  </si>
  <si>
    <t>Rent level 2</t>
  </si>
  <si>
    <t>You can use other rows if you anticipate there will be different rent levels, eg larger rooms, self contained bedsits etc</t>
  </si>
  <si>
    <t>Rent level 3</t>
  </si>
  <si>
    <t>A good start rent is the Local Housing Authority (LHA) rent level, which is the max rent that they will pay to people on housing benefit, you can find out more at:</t>
  </si>
  <si>
    <t>Rent level 4</t>
  </si>
  <si>
    <t>lha-direct.voa.gov.uk</t>
  </si>
  <si>
    <t>total rent incomes &gt;&gt;</t>
  </si>
  <si>
    <t xml:space="preserve">Maximum Total Income per period &gt;&gt; </t>
  </si>
  <si>
    <t>There are several potential rent levels just in case, it's unlikely you'll need them all</t>
  </si>
  <si>
    <t>Expenses</t>
  </si>
  <si>
    <t>Voids</t>
  </si>
  <si>
    <t>The estimated percentage of rooms that are unoccupied each year, it adjusts the total yearly rental income to a more realistic level to take account of gaps when people move in or out.</t>
  </si>
  <si>
    <t>House insurance</t>
  </si>
  <si>
    <t>The yearly cost of buildings / contents insurance paid by direct debit monthly</t>
  </si>
  <si>
    <t>Maintenance</t>
  </si>
  <si>
    <t>The yearly maintenance budget, this depends largely on the state of the house. £1200 a year is a rough minimum</t>
  </si>
  <si>
    <t>Accountant</t>
  </si>
  <si>
    <t>The yearly accounting cost for the co-op</t>
  </si>
  <si>
    <t>RR Service payments</t>
  </si>
  <si>
    <t>FCA Fee</t>
  </si>
  <si>
    <t>Council tax</t>
  </si>
  <si>
    <t>The yearly council tax - this can be found online for the actually property, using a postcode. It only needs to be estimated for a model spreadsheet.</t>
  </si>
  <si>
    <t>Other</t>
  </si>
  <si>
    <t>This is information comes from information you enter in the Loans sheet</t>
  </si>
  <si>
    <t>Set aside for loanstock</t>
  </si>
  <si>
    <t>The amount of money set aside for loanstock</t>
  </si>
  <si>
    <t>Total Expenses per year &gt;&gt;</t>
  </si>
  <si>
    <t>Ongoing Surplus &gt;&gt;</t>
  </si>
  <si>
    <t>If this is negative it indicates there will need to be refinancing.  It is often negative.</t>
  </si>
  <si>
    <t>Set aside for loanstock + ongoing surplus &gt;&gt;</t>
  </si>
  <si>
    <t>This figure should definitely be positive by at least few £1000 for things to be ok.</t>
  </si>
  <si>
    <t>Day One</t>
  </si>
  <si>
    <t>Day 1 income:</t>
  </si>
  <si>
    <t>Total Mortgage type loans</t>
  </si>
  <si>
    <t>This is calculated from the loans sheet</t>
  </si>
  <si>
    <t>Total Loanstock</t>
  </si>
  <si>
    <t>Other ( usually donations ! )</t>
  </si>
  <si>
    <t>Add any other monies, for example donations or starting balance.</t>
  </si>
  <si>
    <t>Total Day 1 income &gt;&gt;</t>
  </si>
  <si>
    <t>Guarantors?</t>
  </si>
  <si>
    <t>Percent of purchase price from mortgage type loans</t>
  </si>
  <si>
    <t>Percent of purchase price made up with mortgage type loans -  If this is above 90% RR will ask for guarantors for the amount above that</t>
  </si>
  <si>
    <t>Guarantors needed?</t>
  </si>
  <si>
    <t>This will say yes if you need them.</t>
  </si>
  <si>
    <t>Amount to be guaranteed</t>
  </si>
  <si>
    <t>If Guarantors are needed then the amount that needs to be be guaranteed will be shown here.</t>
  </si>
  <si>
    <t>Purchase costs:</t>
  </si>
  <si>
    <t>amount (£)</t>
  </si>
  <si>
    <t>Purchase price</t>
  </si>
  <si>
    <t>Stamp duty land tax (SDLT)</t>
  </si>
  <si>
    <t>This page is used to calculate the amount of tax owed as SDLT because of the sale of the property. It is calculated as a % of the purchase price and goes up as the property price increases.</t>
  </si>
  <si>
    <t>The latest thresholds can be found at :</t>
  </si>
  <si>
    <t>www.hmrc.gov.uk/sdlt/rates-thresholds.htm</t>
  </si>
  <si>
    <t>Legal fees</t>
  </si>
  <si>
    <t>If you estimate this put £1500 (as of 2012)</t>
  </si>
  <si>
    <t>Survey</t>
  </si>
  <si>
    <t>This will usually cost about £1000 to £1500</t>
  </si>
  <si>
    <t>Mortgage fees</t>
  </si>
  <si>
    <t>0.75% of mortgage</t>
  </si>
  <si>
    <t>RR Loan fees</t>
  </si>
  <si>
    <t>put this in as £350 unless told otherwise - it is likely that this will be lower, but it could be higher too depending on how much work it is.</t>
  </si>
  <si>
    <t>Other Loan fees</t>
  </si>
  <si>
    <t>other purchase costs</t>
  </si>
  <si>
    <t>Add any other potential one off purchase costs in here.</t>
  </si>
  <si>
    <t>Start-up costs:</t>
  </si>
  <si>
    <t>Initial purchases</t>
  </si>
  <si>
    <t>This could include furniture, carpets etc</t>
  </si>
  <si>
    <t>moving costs</t>
  </si>
  <si>
    <t>Removal companies, van hire, pizzas for friends helping you move :-)</t>
  </si>
  <si>
    <t>day 1 work</t>
  </si>
  <si>
    <t>Cost of building works that must be completed in year one</t>
  </si>
  <si>
    <t>Total Day 1 costs &gt;&gt;</t>
  </si>
  <si>
    <t>Day 1 surplus &gt;&gt;</t>
  </si>
  <si>
    <t>This should be around £500 to £1000 but not much above, or you will almost certainly be borrowing more money than you need, and paying interest on it!</t>
  </si>
  <si>
    <t>Loans</t>
  </si>
  <si>
    <t>Day One Mortgage type loans</t>
  </si>
  <si>
    <t>Year</t>
  </si>
  <si>
    <t>Length [yrs]</t>
  </si>
  <si>
    <t>Lender</t>
  </si>
  <si>
    <t>Amount</t>
  </si>
  <si>
    <t>Interest</t>
  </si>
  <si>
    <t>fixed or variable?</t>
  </si>
  <si>
    <t>Yr 1 capital repayment holiday?</t>
  </si>
  <si>
    <t>Monthly Cost</t>
  </si>
  <si>
    <t>Yearly Cost</t>
  </si>
  <si>
    <t>Total repaid</t>
  </si>
  <si>
    <t>Adjustment to starting rate ( from 40 yr breakdown ) for variable interest rates</t>
  </si>
  <si>
    <t>Loan 1</t>
  </si>
  <si>
    <t>EBS Mortgage</t>
  </si>
  <si>
    <t>variable</t>
  </si>
  <si>
    <t>no</t>
  </si>
  <si>
    <t>Loan 1 PMT</t>
  </si>
  <si>
    <t>Loan 2</t>
  </si>
  <si>
    <t>Radical Routes Loan</t>
  </si>
  <si>
    <t>fixed</t>
  </si>
  <si>
    <t>Loan 2 PMT</t>
  </si>
  <si>
    <t>Loan 3</t>
  </si>
  <si>
    <t>Loan 3 PMT</t>
  </si>
  <si>
    <t>Loan 4</t>
  </si>
  <si>
    <t>Loan 4 PMT</t>
  </si>
  <si>
    <t>Sub total</t>
  </si>
  <si>
    <t>Adjusted for capital repayment holiday</t>
  </si>
  <si>
    <t>Please note the rr loan run by icof uses a slightly different formula to calculate the monthly repayment.</t>
  </si>
  <si>
    <t>This means it will not be exactly as shown - but should be close enough.</t>
  </si>
  <si>
    <t>Please also note that RR can vary their interest rate but for the purposes of the model spreadsheet we work on the assumption that it is fixed.</t>
  </si>
  <si>
    <t>Loanstock</t>
  </si>
  <si>
    <t>monthly cost for one yr breakdown</t>
  </si>
  <si>
    <t>estimated?</t>
  </si>
  <si>
    <t>Loanstock repayment by year table</t>
  </si>
  <si>
    <t>1st loanstock set</t>
  </si>
  <si>
    <t xml:space="preserve">2nd </t>
  </si>
  <si>
    <t>3rd</t>
  </si>
  <si>
    <t>4th</t>
  </si>
  <si>
    <t>5th</t>
  </si>
  <si>
    <t>6th</t>
  </si>
  <si>
    <t>7th</t>
  </si>
  <si>
    <t>8th</t>
  </si>
  <si>
    <t>Notes to help assesments</t>
  </si>
  <si>
    <t>look at loanstock - is it confirmed/ or estimated?</t>
  </si>
  <si>
    <t xml:space="preserve">  </t>
  </si>
  <si>
    <t>if estimated make sure it look realistic, higer interest shorter term is worse than low interest longer term.</t>
  </si>
  <si>
    <t>refinancing totals</t>
  </si>
  <si>
    <t>Future Loanstock (Refinancing)</t>
  </si>
  <si>
    <t>year</t>
  </si>
  <si>
    <t>Start year</t>
  </si>
  <si>
    <t xml:space="preserve">Interest </t>
  </si>
  <si>
    <t>future loanstock issue 1</t>
  </si>
  <si>
    <t>future loanstock issue 2</t>
  </si>
  <si>
    <t>future loanstock issue 3</t>
  </si>
  <si>
    <t>future loanstock issue 4</t>
  </si>
  <si>
    <t>SubTotal</t>
  </si>
  <si>
    <t>future loanstock issue 5</t>
  </si>
  <si>
    <t>future loanstock issue 6</t>
  </si>
  <si>
    <t>future loanstock issue 7</t>
  </si>
  <si>
    <t>future loanstock repayments</t>
  </si>
  <si>
    <t>totals for the year</t>
  </si>
  <si>
    <t>Year One Monthly Breakdown</t>
  </si>
  <si>
    <t>NOTE: This year one doesn't use voids as it works out actual room lets month by month.</t>
  </si>
  <si>
    <t>IN</t>
  </si>
  <si>
    <t>Month 1</t>
  </si>
  <si>
    <t>Month 2</t>
  </si>
  <si>
    <t>Month 3</t>
  </si>
  <si>
    <t>Month 4</t>
  </si>
  <si>
    <t>Month 5</t>
  </si>
  <si>
    <t>Month 6</t>
  </si>
  <si>
    <t>Month 7</t>
  </si>
  <si>
    <t>Month 8</t>
  </si>
  <si>
    <t>Month 9</t>
  </si>
  <si>
    <t>Month 10</t>
  </si>
  <si>
    <t>Month 11</t>
  </si>
  <si>
    <t>Month 12</t>
  </si>
  <si>
    <t>Year totals</t>
  </si>
  <si>
    <t>Comparison figures from 30-year breakdown:</t>
  </si>
  <si>
    <t>Mortgage and RR or other loans</t>
  </si>
  <si>
    <t>Other (one off )</t>
  </si>
  <si>
    <t>no. of rents</t>
  </si>
  <si>
    <t>Rent Level 3</t>
  </si>
  <si>
    <t>Rent Level 4</t>
  </si>
  <si>
    <t>Total rent</t>
  </si>
  <si>
    <t>TOTAL IN</t>
  </si>
  <si>
    <t>OUT</t>
  </si>
  <si>
    <t>Purchase Price</t>
  </si>
  <si>
    <t>Stamp Duty</t>
  </si>
  <si>
    <t>Purchase costs</t>
  </si>
  <si>
    <t>Start-up costs</t>
  </si>
  <si>
    <t>Insurance</t>
  </si>
  <si>
    <t>Maintenance/renovation</t>
  </si>
  <si>
    <t>day 1 work:</t>
  </si>
  <si>
    <t>RR service payments</t>
  </si>
  <si>
    <t>FCA fee</t>
  </si>
  <si>
    <t>Mortgage and RR/other loan repayments</t>
  </si>
  <si>
    <t>TOTAL OUT</t>
  </si>
  <si>
    <t>Surplus</t>
  </si>
  <si>
    <t>Balance</t>
  </si>
  <si>
    <t>This spreadsheet makes sure there is enough cash in the bank in the first year when there will possibly be lots of extra payments just after the house has been purchased and full rental income might not have been achieved</t>
  </si>
  <si>
    <t>40 Year Breakdown</t>
  </si>
  <si>
    <t>Rate of Inflation</t>
  </si>
  <si>
    <t>Bank Interest Rate</t>
  </si>
  <si>
    <t>Yearly changes</t>
  </si>
  <si>
    <t>Mortgage Interest rate change?</t>
  </si>
  <si>
    <t>Adjusted main loan rate</t>
  </si>
  <si>
    <t>Total adj. to any other variable loans</t>
  </si>
  <si>
    <t>Void change this year?</t>
  </si>
  <si>
    <t>Voids this year</t>
  </si>
  <si>
    <t>Rent increase?</t>
  </si>
  <si>
    <t>Average rent charged this year</t>
  </si>
  <si>
    <t>Totals</t>
  </si>
  <si>
    <t>Mortgage + RR/other loans</t>
  </si>
  <si>
    <t>n/a</t>
  </si>
  <si>
    <t>Rental income</t>
  </si>
  <si>
    <t>Interest from bank</t>
  </si>
  <si>
    <t>Total IN</t>
  </si>
  <si>
    <t>Total Purchase Costs</t>
  </si>
  <si>
    <t>Extraordinary maintenance</t>
  </si>
  <si>
    <t>These are increased yearly by inflation</t>
  </si>
  <si>
    <t>council tax</t>
  </si>
  <si>
    <t>Mortgage Type Loans</t>
  </si>
  <si>
    <t>Total Loans</t>
  </si>
  <si>
    <t>Total OUT</t>
  </si>
  <si>
    <t>SURPLUS</t>
  </si>
  <si>
    <t>Loanstock Repayments</t>
  </si>
  <si>
    <t>From Day One</t>
  </si>
  <si>
    <t>From Future Refinancing</t>
  </si>
  <si>
    <t>BALANCE</t>
  </si>
  <si>
    <t>Set aside for Loanstock</t>
  </si>
  <si>
    <t>Set aside for Refinced Loanstock</t>
  </si>
  <si>
    <t>10 Year Loanstock at Year 10</t>
  </si>
  <si>
    <t>10 Year Loanstock at Year 15</t>
  </si>
  <si>
    <t>10 Year Loanstock at Year 20</t>
  </si>
  <si>
    <t>10 Year Loanstock at Year 25</t>
  </si>
  <si>
    <t>10 Year Loanstock at Year 30</t>
  </si>
  <si>
    <t>10 Year Loanstock at Year 35</t>
  </si>
  <si>
    <t>Refinancing</t>
  </si>
  <si>
    <t>Total Set aside for Loanstock</t>
  </si>
  <si>
    <t>g</t>
  </si>
  <si>
    <t>Day One Income &amp; Expenditure</t>
  </si>
  <si>
    <t>Day One Income:</t>
  </si>
  <si>
    <t>Day One Expenses</t>
  </si>
  <si>
    <t>Ongoing Income &amp; Expenditure</t>
  </si>
  <si>
    <t>Ongoing Income</t>
  </si>
  <si>
    <t>Ongoing Expenses</t>
  </si>
  <si>
    <t>NOTE: This doesn't take account of voids as it takes account of room rentals month by month</t>
  </si>
  <si>
    <t>Jan</t>
  </si>
  <si>
    <t>Feb</t>
  </si>
  <si>
    <t>Mar</t>
  </si>
  <si>
    <t>Apr</t>
  </si>
  <si>
    <t>May</t>
  </si>
  <si>
    <t>Jun</t>
  </si>
  <si>
    <t>Jul</t>
  </si>
  <si>
    <t>Aug</t>
  </si>
  <si>
    <t>Sep</t>
  </si>
  <si>
    <t>Oct</t>
  </si>
  <si>
    <t>Nov</t>
  </si>
  <si>
    <t>Dec</t>
  </si>
  <si>
    <t>Yr Total</t>
  </si>
  <si>
    <t>Total day one in</t>
  </si>
  <si>
    <t>Rooms rented</t>
  </si>
  <si>
    <t>#</t>
  </si>
  <si>
    <t xml:space="preserve">TOTAL IN &gt;&gt; </t>
  </si>
  <si>
    <t>Total Start-up costs</t>
  </si>
  <si>
    <t>FSA fee</t>
  </si>
  <si>
    <t>Mortgage &amp; Loans</t>
  </si>
  <si>
    <t>TOTAL OUT &gt;&gt;</t>
  </si>
  <si>
    <t>Surplus &gt;&gt;</t>
  </si>
  <si>
    <t>Balance &gt;&gt;</t>
  </si>
  <si>
    <t>Day One Loanstock</t>
  </si>
  <si>
    <t>At:</t>
  </si>
  <si>
    <t>40 Year Breakdown Page 2</t>
  </si>
  <si>
    <t>Total adj. to existing loans</t>
  </si>
  <si>
    <t>Rent 1 charged this year</t>
  </si>
  <si>
    <t>TOTAL IN &gt;&gt;</t>
  </si>
  <si>
    <t>SURPLUS &gt;&gt;</t>
  </si>
  <si>
    <t>BALANCE &gt;&gt;</t>
  </si>
  <si>
    <t>CHANGE LOG</t>
  </si>
  <si>
    <t>Version</t>
  </si>
  <si>
    <t>Changes</t>
  </si>
  <si>
    <t xml:space="preserve">Made the lengths of all year one loanstock adjustable </t>
  </si>
  <si>
    <t>There are 8 loan groups ( were 3,5,10,15,20,25,30 and 35 yr loanstock )</t>
  </si>
  <si>
    <t>You can now change the length of each loanstock group by altering the year length in the loans sheet.</t>
  </si>
  <si>
    <t>Changes made automatically propagate throughout the rest of the spreadsheet.</t>
  </si>
  <si>
    <t>Added changelog to the spreadsheet itself</t>
  </si>
  <si>
    <t>Added note to Inc&amp;Exp sheet to remind people to check the radicalroutes website for the latest version.</t>
  </si>
  <si>
    <t>Made future loanstock issues variable in their length and also in the year that they start on request of wild peak.</t>
  </si>
  <si>
    <t>fixed an error in the loanstock issues introduecd in v 2.0, where the second row of each loanstock refiancing was not included in the 40 year breakdown.</t>
  </si>
  <si>
    <t>changed the months in year one breakdown to months one  two three etc.</t>
  </si>
  <si>
    <t>added property info for postcode, and web address of property in inc&amp;exp</t>
  </si>
  <si>
    <t>added no voids note to yearone monthly breakdown printout sheet and year one monthly breakdown.</t>
  </si>
  <si>
    <t>changed note day one surplus on inc&amp;exp sheet</t>
  </si>
  <si>
    <t>added notification to say if guarantoors needed for money borrowed above 90% of purchase price.</t>
  </si>
  <si>
    <t>increased sugested inflation in 40 year breakdown to 4%</t>
  </si>
  <si>
    <t>added info to house insurance note on inc&amp;exp</t>
  </si>
  <si>
    <t>added note on voids</t>
  </si>
  <si>
    <t>added setaside for loanstock + ongoing surplus cells on inc&amp;exp</t>
  </si>
  <si>
    <t>edited note on postcode in inc&amp;exp</t>
  </si>
  <si>
    <t>edited noted on council tax on inc&amp;exp</t>
  </si>
  <si>
    <t>added guarantoor section to the inc&amp;exp sheet so it can be easily seen how much of rr loan needs to be guranteed if at all.</t>
  </si>
  <si>
    <t>fixed bug in auto gurantoor tell tale ( it only used the first two mortgage type loans to work out if gurantoors were needed, now it uses all 4 )</t>
  </si>
  <si>
    <t>Fixed bug in 40 yr breakdown where voids were applied to the 1st year rental income, voids shouldn't be applied as that is taken into account in the one year breakdoen on a month by month basis )</t>
  </si>
  <si>
    <t>removed erroneous totalling of the running balance in one year breakdown.</t>
  </si>
  <si>
    <t>changed order of ongoing expenses in inc and exp and one yera breakdown sheets so they both matched the order in the 40 year breakdown to simplify thigs.</t>
  </si>
  <si>
    <t xml:space="preserve">fixed a bug where the one year breakdown maintenace expense and other expense was not put into the 40 yr breakdown. Now it is -  the second year in the 40 year breakdown is then taken form the inc&amp;exp sheet * inflation. </t>
  </si>
  <si>
    <t>2.4.1</t>
  </si>
  <si>
    <t>Normalise the formatting to prevent number not showing due to cell size. All money numbers have been formatted to currency. Font size is 10 in breakdown pages and 11 for editable cells in Inc &amp; Exp and Loan. Font was changed to Arial everywhere to improve compatibility between spreadsheet packages</t>
  </si>
  <si>
    <t>Added disclaimer to inc &amp; exp</t>
  </si>
  <si>
    <t>fixed error in summing of other row in year one breakdown which meant the yearssum wasn't transferred to 40 year breakdown</t>
  </si>
  <si>
    <t>Increased maintenance budget note to say minimum should be 1200 in inc&amp;exp sheet.</t>
  </si>
  <si>
    <t>changed inc&amp; exp title to Money IN and OUT</t>
  </si>
  <si>
    <t>Added 10K extraordinary maintenance every 10 years by default in 40 years breakdown</t>
  </si>
  <si>
    <t>Raised yearly maintenance from £1000 to £1200 by default in Inc &amp; Exp</t>
  </si>
  <si>
    <t>2.6.0</t>
  </si>
  <si>
    <r>
      <t xml:space="preserve">Added new stamp duty calculation as of 04/12/2014 </t>
    </r>
    <r>
      <rPr>
        <sz val="10"/>
        <color indexed="12"/>
        <rFont val="Arial"/>
        <family val="2"/>
      </rPr>
      <t>https://www.gov.uk/stamp-duty-land-tax-rates</t>
    </r>
  </si>
  <si>
    <t>Corrected typos</t>
  </si>
  <si>
    <t>Extended to graph to 40 years</t>
  </si>
  <si>
    <t>2.6.1</t>
  </si>
  <si>
    <t>Change 'rent 1 charged' in 40 year breakdown to 'average rent charged' calculated from the average over all four rent levels</t>
  </si>
  <si>
    <t>In Loan sheet, broken down yearly cost formula was change from sum over Loan 1;2;4 to sum over 1;2;3;4</t>
  </si>
  <si>
    <t>This page is for calculations and is not supposed to be viewed or edited....</t>
  </si>
  <si>
    <t>loanstcock certainty drop down</t>
  </si>
  <si>
    <t>fixed or variable rate loan drop down</t>
  </si>
  <si>
    <t>year one capital reypayment holiday</t>
  </si>
  <si>
    <t>lStckConfirmed</t>
  </si>
  <si>
    <t>estimatedOrActual</t>
  </si>
  <si>
    <t>variableOrFixedRate</t>
  </si>
  <si>
    <t>yearOneCapitalRepaymentHoliday</t>
  </si>
  <si>
    <t>estimated</t>
  </si>
  <si>
    <t>actual figure</t>
  </si>
  <si>
    <t>yes</t>
  </si>
  <si>
    <t>confirmed</t>
  </si>
  <si>
    <t>please select!</t>
  </si>
  <si>
    <t>example</t>
  </si>
  <si>
    <t>pv</t>
  </si>
  <si>
    <t>amount borrowed</t>
  </si>
  <si>
    <t>rate</t>
  </si>
  <si>
    <t>interest rate per period ( if paying monthly this would be anual interest rate / 12 )</t>
  </si>
  <si>
    <t>nper</t>
  </si>
  <si>
    <t>total number of payment periods in the annuity ( loan length)</t>
  </si>
  <si>
    <t>pmt</t>
  </si>
  <si>
    <t>the fixed payment made over the life of the loan to pay off the loaned sum and the interest (if fv is omitted this must be included )</t>
  </si>
  <si>
    <t>fv</t>
  </si>
  <si>
    <t>the future value  at the end of the repayment period ( for loans this would be 0 ) if pmt is omitted this must be included</t>
  </si>
  <si>
    <t>type</t>
  </si>
  <si>
    <t>0 for us ( pay at the end of the period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</si>
</sst>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Red]\-[$£-809]#,##0.00"/>
    <numFmt numFmtId="165" formatCode="0.0%"/>
    <numFmt numFmtId="166" formatCode="\£#,##0.00;[Red]&quot;-£&quot;#,##0.00"/>
    <numFmt numFmtId="167" formatCode="#,##0.00\ ;[Red]\-#,##0.00\ "/>
    <numFmt numFmtId="168" formatCode="#,##0.00;[Red]#,##0.00"/>
  </numFmts>
  <fonts count="71">
    <font>
      <sz val="10"/>
      <name val="Arial"/>
      <family val="2"/>
    </font>
    <font>
      <sz val="11"/>
      <color indexed="62"/>
      <name val="Arial"/>
      <family val="2"/>
    </font>
    <font>
      <sz val="20"/>
      <name val="Arial"/>
      <family val="2"/>
    </font>
    <font>
      <sz val="10"/>
      <color indexed="25"/>
      <name val="Arial"/>
      <family val="2"/>
    </font>
    <font>
      <b/>
      <sz val="18"/>
      <name val="Arial"/>
      <family val="2"/>
    </font>
    <font>
      <sz val="10"/>
      <color indexed="10"/>
      <name val="Arial"/>
      <family val="2"/>
    </font>
    <font>
      <u val="single"/>
      <sz val="10"/>
      <color indexed="12"/>
      <name val="MS Sans Serif"/>
      <family val="2"/>
    </font>
    <font>
      <u val="single"/>
      <sz val="10"/>
      <color indexed="12"/>
      <name val="Arial"/>
      <family val="2"/>
    </font>
    <font>
      <i/>
      <sz val="11"/>
      <color indexed="23"/>
      <name val="Arial"/>
      <family val="2"/>
    </font>
    <font>
      <i/>
      <sz val="11"/>
      <color indexed="23"/>
      <name val="Calibri"/>
      <family val="2"/>
    </font>
    <font>
      <b/>
      <sz val="14"/>
      <name val="Arial"/>
      <family val="2"/>
    </font>
    <font>
      <b/>
      <sz val="10"/>
      <name val="Arial"/>
      <family val="2"/>
    </font>
    <font>
      <sz val="10"/>
      <color indexed="62"/>
      <name val="Arial"/>
      <family val="2"/>
    </font>
    <font>
      <sz val="10"/>
      <color indexed="60"/>
      <name val="Arial"/>
      <family val="2"/>
    </font>
    <font>
      <b/>
      <sz val="8"/>
      <color indexed="8"/>
      <name val="Tahoma"/>
      <family val="2"/>
    </font>
    <font>
      <b/>
      <sz val="24"/>
      <name val="Arial"/>
      <family val="2"/>
    </font>
    <font>
      <b/>
      <i/>
      <sz val="11"/>
      <color indexed="23"/>
      <name val="Arial"/>
      <family val="2"/>
    </font>
    <font>
      <b/>
      <sz val="12"/>
      <name val="Arial"/>
      <family val="2"/>
    </font>
    <font>
      <b/>
      <sz val="10"/>
      <color indexed="18"/>
      <name val="Arial"/>
      <family val="2"/>
    </font>
    <font>
      <sz val="10"/>
      <name val="Calibri"/>
      <family val="2"/>
    </font>
    <font>
      <sz val="6"/>
      <name val="Calibri"/>
      <family val="2"/>
    </font>
    <font>
      <sz val="12"/>
      <name val="Calibri"/>
      <family val="2"/>
    </font>
    <font>
      <sz val="7"/>
      <name val="Calibri"/>
      <family val="2"/>
    </font>
    <font>
      <b/>
      <sz val="7"/>
      <name val="Calibri"/>
      <family val="2"/>
    </font>
    <font>
      <b/>
      <sz val="6"/>
      <name val="Calibri"/>
      <family val="2"/>
    </font>
    <font>
      <sz val="6"/>
      <color indexed="62"/>
      <name val="Calibri"/>
      <family val="2"/>
    </font>
    <font>
      <sz val="7"/>
      <color indexed="62"/>
      <name val="Calibri"/>
      <family val="2"/>
    </font>
    <font>
      <sz val="8"/>
      <name val="Calibri"/>
      <family val="2"/>
    </font>
    <font>
      <sz val="7"/>
      <color indexed="18"/>
      <name val="Calibri"/>
      <family val="2"/>
    </font>
    <font>
      <sz val="10"/>
      <color indexed="12"/>
      <name val="Arial"/>
      <family val="2"/>
    </font>
    <font>
      <b/>
      <sz val="20"/>
      <name val="Arial"/>
      <family val="2"/>
    </font>
    <font>
      <sz val="11"/>
      <color indexed="60"/>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
      <color indexed="59"/>
      <name val="Arial"/>
      <family val="0"/>
    </font>
    <font>
      <sz val="9"/>
      <color indexed="59"/>
      <name val="Arial"/>
      <family val="0"/>
    </font>
    <font>
      <sz val="13"/>
      <color indexed="59"/>
      <name val="Arial"/>
      <family val="0"/>
    </font>
    <font>
      <sz val="6.75"/>
      <color indexed="59"/>
      <name val="Arial"/>
      <family val="0"/>
    </font>
    <font>
      <sz val="7"/>
      <color indexed="5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0"/>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23"/>
      </left>
      <right style="hair">
        <color indexed="23"/>
      </right>
      <top style="hair">
        <color indexed="23"/>
      </top>
      <bottom style="hair">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59"/>
      </top>
      <bottom>
        <color indexed="63"/>
      </bottom>
    </border>
    <border>
      <left>
        <color indexed="63"/>
      </left>
      <right>
        <color indexed="63"/>
      </right>
      <top style="hair">
        <color indexed="59"/>
      </top>
      <bottom style="thin">
        <color indexed="59"/>
      </bottom>
    </border>
    <border>
      <left>
        <color indexed="63"/>
      </left>
      <right>
        <color indexed="63"/>
      </right>
      <top>
        <color indexed="63"/>
      </top>
      <bottom style="hair">
        <color indexed="63"/>
      </bottom>
    </border>
    <border>
      <left>
        <color indexed="63"/>
      </left>
      <right>
        <color indexed="63"/>
      </right>
      <top style="hair">
        <color indexed="59"/>
      </top>
      <bottom style="thin">
        <color indexed="63"/>
      </bottom>
    </border>
    <border>
      <left style="hair">
        <color indexed="59"/>
      </left>
      <right style="hair">
        <color indexed="59"/>
      </right>
      <top style="hair">
        <color indexed="59"/>
      </top>
      <bottom style="hair">
        <color indexed="59"/>
      </bottom>
    </border>
    <border>
      <left style="hair">
        <color indexed="59"/>
      </left>
      <right style="hair">
        <color indexed="59"/>
      </right>
      <top style="hair">
        <color indexed="59"/>
      </top>
      <bottom>
        <color indexed="63"/>
      </bottom>
    </border>
    <border>
      <left style="hair">
        <color indexed="59"/>
      </left>
      <right>
        <color indexed="63"/>
      </right>
      <top style="hair">
        <color indexed="59"/>
      </top>
      <bottom style="hair">
        <color indexed="59"/>
      </bottom>
    </border>
    <border>
      <left style="hair">
        <color indexed="63"/>
      </left>
      <right style="hair">
        <color indexed="63"/>
      </right>
      <top style="hair">
        <color indexed="63"/>
      </top>
      <bottom style="hair">
        <color indexed="63"/>
      </bottom>
    </border>
    <border>
      <left style="hair">
        <color indexed="59"/>
      </left>
      <right style="hair">
        <color indexed="59"/>
      </right>
      <top>
        <color indexed="63"/>
      </top>
      <bottom style="hair">
        <color indexed="59"/>
      </bottom>
    </border>
    <border>
      <left style="hair">
        <color indexed="23"/>
      </left>
      <right style="hair">
        <color indexed="23"/>
      </right>
      <top>
        <color indexed="63"/>
      </top>
      <bottom style="hair">
        <color indexed="2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color indexed="63"/>
      </left>
      <right style="hair">
        <color indexed="59"/>
      </right>
      <top style="hair">
        <color indexed="59"/>
      </top>
      <bottom style="hair">
        <color indexed="59"/>
      </bottom>
    </border>
    <border>
      <left>
        <color indexed="63"/>
      </left>
      <right style="hair">
        <color indexed="59"/>
      </right>
      <top>
        <color indexed="63"/>
      </top>
      <bottom style="hair">
        <color indexed="59"/>
      </bottom>
    </border>
    <border>
      <left>
        <color indexed="63"/>
      </left>
      <right style="hair">
        <color indexed="59"/>
      </right>
      <top>
        <color indexed="63"/>
      </top>
      <bottom>
        <color indexed="63"/>
      </bottom>
    </border>
    <border>
      <left>
        <color indexed="63"/>
      </left>
      <right>
        <color indexed="63"/>
      </right>
      <top style="hair">
        <color indexed="63"/>
      </top>
      <bottom style="thin">
        <color indexed="63"/>
      </bottom>
    </border>
    <border>
      <left>
        <color indexed="63"/>
      </left>
      <right style="hair">
        <color indexed="23"/>
      </right>
      <top style="hair">
        <color indexed="23"/>
      </top>
      <bottom style="hair">
        <color indexed="23"/>
      </bottom>
    </border>
    <border>
      <left>
        <color indexed="63"/>
      </left>
      <right>
        <color indexed="63"/>
      </right>
      <top style="hair">
        <color indexed="63"/>
      </top>
      <bottom>
        <color indexed="63"/>
      </bottom>
    </border>
    <border>
      <left>
        <color indexed="63"/>
      </left>
      <right>
        <color indexed="63"/>
      </right>
      <top style="hair">
        <color indexed="63"/>
      </top>
      <bottom style="hair">
        <color indexed="59"/>
      </bottom>
    </border>
    <border>
      <left style="hair">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style="hair">
        <color indexed="23"/>
      </left>
      <right>
        <color indexed="63"/>
      </right>
      <top>
        <color indexed="63"/>
      </top>
      <bottom style="hair">
        <color indexed="23"/>
      </bottom>
    </border>
    <border>
      <left style="hair">
        <color indexed="59"/>
      </left>
      <right>
        <color indexed="63"/>
      </right>
      <top>
        <color indexed="63"/>
      </top>
      <bottom style="hair">
        <color indexed="59"/>
      </bottom>
    </border>
    <border>
      <left>
        <color indexed="63"/>
      </left>
      <right style="hair">
        <color indexed="59"/>
      </right>
      <top style="hair">
        <color indexed="59"/>
      </top>
      <bottom>
        <color indexed="63"/>
      </bottom>
    </border>
    <border>
      <left style="hair">
        <color indexed="59"/>
      </left>
      <right>
        <color indexed="63"/>
      </right>
      <top style="hair">
        <color indexed="59"/>
      </top>
      <bottom>
        <color indexed="63"/>
      </bottom>
    </border>
    <border>
      <left style="hair">
        <color indexed="63"/>
      </left>
      <right style="hair">
        <color indexed="63"/>
      </right>
      <top style="hair">
        <color indexed="63"/>
      </top>
      <bottom>
        <color indexed="63"/>
      </bottom>
    </border>
  </borders>
  <cellStyleXfs count="67">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2" fontId="9" fillId="0" borderId="0" applyFill="0" applyBorder="0" applyAlignment="0" applyProtection="0"/>
    <xf numFmtId="2" fontId="32" fillId="29" borderId="0" applyBorder="0" applyAlignment="0" applyProtection="0"/>
    <xf numFmtId="2" fontId="12" fillId="30" borderId="3" applyAlignment="0" applyProtection="0"/>
    <xf numFmtId="2" fontId="31" fillId="31" borderId="0" applyBorder="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2" fontId="6" fillId="0" borderId="0" applyFill="0" applyBorder="0" applyAlignment="0" applyProtection="0"/>
    <xf numFmtId="0" fontId="63" fillId="33" borderId="1" applyNumberFormat="0" applyAlignment="0" applyProtection="0"/>
    <xf numFmtId="2" fontId="1" fillId="30" borderId="3" applyAlignment="0">
      <protection locked="0"/>
    </xf>
    <xf numFmtId="0" fontId="64" fillId="0" borderId="7" applyNumberFormat="0" applyFill="0" applyAlignment="0" applyProtection="0"/>
    <xf numFmtId="0" fontId="65" fillId="34" borderId="0" applyNumberFormat="0" applyBorder="0" applyAlignment="0" applyProtection="0"/>
    <xf numFmtId="0" fontId="0" fillId="35" borderId="8" applyNumberFormat="0" applyFont="0" applyAlignment="0" applyProtection="0"/>
    <xf numFmtId="0" fontId="66" fillId="27" borderId="9"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605">
    <xf numFmtId="2" fontId="0" fillId="0" borderId="0" xfId="0" applyAlignment="1">
      <alignment/>
    </xf>
    <xf numFmtId="2" fontId="0" fillId="0" borderId="0" xfId="0" applyFont="1" applyAlignment="1">
      <alignment/>
    </xf>
    <xf numFmtId="164" fontId="0" fillId="0" borderId="0" xfId="0" applyNumberFormat="1" applyFont="1" applyAlignment="1">
      <alignment/>
    </xf>
    <xf numFmtId="2" fontId="2" fillId="0" borderId="0" xfId="0" applyFont="1" applyAlignment="1">
      <alignment/>
    </xf>
    <xf numFmtId="2" fontId="3" fillId="0" borderId="0" xfId="0" applyFont="1" applyAlignment="1">
      <alignment/>
    </xf>
    <xf numFmtId="2" fontId="4" fillId="0" borderId="0" xfId="0" applyFont="1" applyAlignment="1">
      <alignment/>
    </xf>
    <xf numFmtId="2" fontId="5" fillId="0" borderId="0" xfId="0" applyFont="1" applyAlignment="1">
      <alignment/>
    </xf>
    <xf numFmtId="2" fontId="6" fillId="0" borderId="0" xfId="56" applyAlignment="1">
      <alignment/>
    </xf>
    <xf numFmtId="2" fontId="7" fillId="0" borderId="0" xfId="56" applyFont="1" applyFill="1" applyBorder="1" applyAlignment="1" applyProtection="1">
      <alignment/>
      <protection/>
    </xf>
    <xf numFmtId="2" fontId="8" fillId="0" borderId="0" xfId="46" applyNumberFormat="1" applyFont="1" applyFill="1" applyBorder="1" applyAlignment="1" applyProtection="1">
      <alignment/>
      <protection/>
    </xf>
    <xf numFmtId="2" fontId="10" fillId="0" borderId="0" xfId="0" applyFont="1" applyAlignment="1">
      <alignment/>
    </xf>
    <xf numFmtId="2" fontId="1" fillId="30" borderId="3" xfId="58" applyAlignment="1">
      <alignment horizontal="right"/>
      <protection locked="0"/>
    </xf>
    <xf numFmtId="1" fontId="11" fillId="0" borderId="0" xfId="0" applyNumberFormat="1" applyFont="1" applyAlignment="1">
      <alignment horizontal="center"/>
    </xf>
    <xf numFmtId="2" fontId="0" fillId="0" borderId="0" xfId="0" applyFont="1" applyAlignment="1">
      <alignment horizontal="right"/>
    </xf>
    <xf numFmtId="2" fontId="0" fillId="0" borderId="0" xfId="0" applyFont="1" applyAlignment="1">
      <alignment/>
    </xf>
    <xf numFmtId="164" fontId="0" fillId="0" borderId="0" xfId="0" applyNumberFormat="1" applyFont="1" applyAlignment="1">
      <alignment/>
    </xf>
    <xf numFmtId="2" fontId="11" fillId="0" borderId="0" xfId="0" applyFont="1" applyAlignment="1">
      <alignment/>
    </xf>
    <xf numFmtId="2" fontId="11" fillId="0" borderId="0" xfId="0" applyFont="1" applyAlignment="1">
      <alignment horizontal="center"/>
    </xf>
    <xf numFmtId="164" fontId="11" fillId="0" borderId="0" xfId="0" applyNumberFormat="1" applyFont="1" applyAlignment="1">
      <alignment horizontal="center"/>
    </xf>
    <xf numFmtId="164" fontId="1" fillId="30" borderId="3" xfId="58" applyNumberFormat="1" applyAlignment="1">
      <alignment horizontal="center"/>
      <protection locked="0"/>
    </xf>
    <xf numFmtId="3" fontId="1" fillId="30" borderId="3" xfId="58" applyNumberFormat="1" applyAlignment="1">
      <alignment horizontal="center"/>
      <protection locked="0"/>
    </xf>
    <xf numFmtId="2" fontId="7" fillId="0" borderId="0" xfId="56" applyNumberFormat="1" applyFont="1" applyFill="1" applyBorder="1" applyAlignment="1" applyProtection="1">
      <alignment/>
      <protection/>
    </xf>
    <xf numFmtId="2" fontId="11" fillId="0" borderId="0" xfId="0" applyFont="1" applyAlignment="1">
      <alignment horizontal="right"/>
    </xf>
    <xf numFmtId="164" fontId="11" fillId="0" borderId="11" xfId="0" applyNumberFormat="1" applyFont="1" applyBorder="1" applyAlignment="1">
      <alignment/>
    </xf>
    <xf numFmtId="2" fontId="0" fillId="0" borderId="0" xfId="0" applyFont="1" applyBorder="1" applyAlignment="1">
      <alignment/>
    </xf>
    <xf numFmtId="9" fontId="1" fillId="30" borderId="3" xfId="58" applyNumberFormat="1" applyAlignment="1">
      <alignment horizontal="center"/>
      <protection locked="0"/>
    </xf>
    <xf numFmtId="164" fontId="0" fillId="0" borderId="0" xfId="0" applyNumberFormat="1" applyFont="1" applyAlignment="1">
      <alignment horizontal="right"/>
    </xf>
    <xf numFmtId="2" fontId="0" fillId="0" borderId="0" xfId="0" applyFont="1" applyBorder="1" applyAlignment="1" applyProtection="1">
      <alignment/>
      <protection/>
    </xf>
    <xf numFmtId="2" fontId="1" fillId="30" borderId="3" xfId="58" applyAlignment="1">
      <alignment horizontal="center"/>
      <protection locked="0"/>
    </xf>
    <xf numFmtId="164" fontId="1" fillId="30" borderId="3" xfId="58" applyNumberFormat="1" applyAlignment="1">
      <alignment horizontal="right"/>
      <protection locked="0"/>
    </xf>
    <xf numFmtId="164" fontId="0" fillId="0" borderId="0" xfId="0" applyNumberFormat="1" applyFont="1" applyFill="1" applyBorder="1" applyAlignment="1">
      <alignment/>
    </xf>
    <xf numFmtId="2" fontId="0" fillId="0" borderId="0" xfId="0" applyFont="1" applyFill="1" applyBorder="1" applyAlignment="1" applyProtection="1">
      <alignment/>
      <protection/>
    </xf>
    <xf numFmtId="49" fontId="0" fillId="0" borderId="0" xfId="0" applyNumberFormat="1" applyFont="1" applyAlignment="1">
      <alignment/>
    </xf>
    <xf numFmtId="164" fontId="11" fillId="0" borderId="0" xfId="0" applyNumberFormat="1" applyFont="1" applyBorder="1" applyAlignment="1">
      <alignment/>
    </xf>
    <xf numFmtId="164" fontId="11" fillId="0" borderId="12" xfId="0" applyNumberFormat="1" applyFont="1" applyBorder="1" applyAlignment="1">
      <alignment/>
    </xf>
    <xf numFmtId="164" fontId="0" fillId="0" borderId="13" xfId="0" applyNumberFormat="1" applyFont="1" applyBorder="1" applyAlignment="1">
      <alignment/>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8" fillId="0" borderId="0" xfId="46" applyNumberFormat="1" applyFont="1" applyFill="1" applyBorder="1" applyAlignment="1" applyProtection="1">
      <alignment/>
      <protection/>
    </xf>
    <xf numFmtId="2" fontId="1" fillId="30" borderId="3" xfId="58" applyAlignment="1">
      <alignment/>
      <protection locked="0"/>
    </xf>
    <xf numFmtId="164" fontId="1" fillId="30" borderId="3" xfId="58" applyNumberFormat="1" applyAlignment="1">
      <alignment/>
      <protection locked="0"/>
    </xf>
    <xf numFmtId="0" fontId="11" fillId="0" borderId="0" xfId="0" applyNumberFormat="1" applyFont="1" applyFill="1" applyBorder="1" applyAlignment="1" applyProtection="1">
      <alignment horizontal="right"/>
      <protection/>
    </xf>
    <xf numFmtId="164" fontId="11" fillId="0" borderId="11"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10" fontId="0" fillId="0" borderId="0" xfId="0" applyNumberFormat="1" applyFont="1" applyAlignment="1">
      <alignment/>
    </xf>
    <xf numFmtId="164" fontId="0" fillId="0" borderId="0" xfId="0" applyNumberFormat="1" applyFont="1" applyAlignment="1">
      <alignment horizontal="center"/>
    </xf>
    <xf numFmtId="0" fontId="0" fillId="0" borderId="0" xfId="0" applyNumberFormat="1" applyFont="1" applyBorder="1" applyAlignment="1">
      <alignment/>
    </xf>
    <xf numFmtId="9" fontId="12" fillId="0" borderId="3" xfId="48" applyNumberFormat="1" applyFont="1" applyFill="1" applyAlignment="1" applyProtection="1">
      <alignment/>
      <protection/>
    </xf>
    <xf numFmtId="9" fontId="12" fillId="0" borderId="0" xfId="48" applyNumberFormat="1" applyFont="1" applyFill="1" applyBorder="1" applyAlignment="1" applyProtection="1">
      <alignment/>
      <protection/>
    </xf>
    <xf numFmtId="0" fontId="7" fillId="0" borderId="0" xfId="56" applyNumberFormat="1" applyFont="1" applyFill="1" applyBorder="1" applyAlignment="1" applyProtection="1">
      <alignment/>
      <protection/>
    </xf>
    <xf numFmtId="164" fontId="13" fillId="0" borderId="0" xfId="0" applyNumberFormat="1" applyFont="1" applyFill="1" applyBorder="1" applyAlignment="1" applyProtection="1">
      <alignment/>
      <protection/>
    </xf>
    <xf numFmtId="0" fontId="0" fillId="0" borderId="0" xfId="0" applyNumberFormat="1" applyFont="1" applyFill="1" applyBorder="1" applyAlignment="1">
      <alignment/>
    </xf>
    <xf numFmtId="0" fontId="11" fillId="0" borderId="0" xfId="0" applyNumberFormat="1" applyFont="1" applyBorder="1" applyAlignment="1">
      <alignment/>
    </xf>
    <xf numFmtId="0" fontId="0" fillId="0" borderId="0" xfId="0" applyNumberFormat="1" applyFont="1" applyFill="1" applyBorder="1" applyAlignment="1" applyProtection="1">
      <alignment horizontal="right"/>
      <protection/>
    </xf>
    <xf numFmtId="164" fontId="0" fillId="0" borderId="12" xfId="0" applyNumberFormat="1" applyFont="1" applyFill="1" applyBorder="1" applyAlignment="1" applyProtection="1">
      <alignment/>
      <protection/>
    </xf>
    <xf numFmtId="2" fontId="0" fillId="0" borderId="0" xfId="0" applyFont="1" applyAlignment="1" applyProtection="1">
      <alignment/>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164" fontId="0" fillId="0" borderId="0" xfId="0" applyNumberFormat="1" applyFont="1" applyAlignment="1" applyProtection="1">
      <alignment/>
      <protection/>
    </xf>
    <xf numFmtId="10" fontId="0" fillId="0" borderId="0" xfId="0" applyNumberFormat="1" applyFont="1" applyAlignment="1" applyProtection="1">
      <alignment horizontal="center"/>
      <protection/>
    </xf>
    <xf numFmtId="2" fontId="0" fillId="0" borderId="0" xfId="0" applyFont="1" applyAlignment="1" applyProtection="1">
      <alignment horizontal="center"/>
      <protection/>
    </xf>
    <xf numFmtId="2" fontId="15" fillId="0" borderId="0" xfId="0" applyFont="1" applyAlignment="1" applyProtection="1">
      <alignment/>
      <protection/>
    </xf>
    <xf numFmtId="2" fontId="0" fillId="36" borderId="0" xfId="0" applyFont="1" applyFill="1" applyAlignment="1" applyProtection="1">
      <alignment/>
      <protection/>
    </xf>
    <xf numFmtId="1" fontId="0" fillId="36" borderId="0" xfId="0" applyNumberFormat="1" applyFont="1" applyFill="1" applyAlignment="1" applyProtection="1">
      <alignment/>
      <protection/>
    </xf>
    <xf numFmtId="1" fontId="0" fillId="36" borderId="0" xfId="0" applyNumberFormat="1" applyFont="1" applyFill="1" applyAlignment="1" applyProtection="1">
      <alignment horizontal="center"/>
      <protection/>
    </xf>
    <xf numFmtId="164" fontId="0" fillId="36" borderId="0" xfId="0" applyNumberFormat="1" applyFont="1" applyFill="1" applyAlignment="1" applyProtection="1">
      <alignment/>
      <protection/>
    </xf>
    <xf numFmtId="10" fontId="0" fillId="36" borderId="0" xfId="0" applyNumberFormat="1" applyFont="1" applyFill="1" applyAlignment="1" applyProtection="1">
      <alignment horizontal="center"/>
      <protection/>
    </xf>
    <xf numFmtId="2" fontId="0" fillId="36" borderId="0" xfId="0" applyFont="1" applyFill="1" applyAlignment="1" applyProtection="1">
      <alignment horizontal="center"/>
      <protection/>
    </xf>
    <xf numFmtId="1" fontId="10" fillId="0" borderId="0" xfId="0" applyNumberFormat="1" applyFont="1" applyAlignment="1" applyProtection="1">
      <alignment/>
      <protection/>
    </xf>
    <xf numFmtId="1" fontId="11" fillId="0" borderId="0" xfId="0" applyNumberFormat="1" applyFont="1" applyAlignment="1" applyProtection="1">
      <alignment/>
      <protection/>
    </xf>
    <xf numFmtId="2" fontId="0" fillId="0" borderId="0" xfId="0" applyFont="1" applyAlignment="1" applyProtection="1">
      <alignment horizontal="right"/>
      <protection/>
    </xf>
    <xf numFmtId="1"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164" fontId="11" fillId="0" borderId="0" xfId="0" applyNumberFormat="1" applyFont="1" applyFill="1" applyBorder="1" applyAlignment="1" applyProtection="1">
      <alignment horizontal="center" vertical="center" wrapText="1"/>
      <protection/>
    </xf>
    <xf numFmtId="10" fontId="11" fillId="0" borderId="0" xfId="0" applyNumberFormat="1" applyFont="1" applyFill="1" applyBorder="1" applyAlignment="1" applyProtection="1">
      <alignment horizontal="center" vertical="center" wrapText="1"/>
      <protection/>
    </xf>
    <xf numFmtId="2" fontId="0" fillId="0" borderId="0" xfId="0" applyFont="1" applyAlignment="1" applyProtection="1">
      <alignment wrapText="1"/>
      <protection/>
    </xf>
    <xf numFmtId="10" fontId="0" fillId="0" borderId="0" xfId="0" applyNumberFormat="1" applyFont="1" applyAlignment="1" applyProtection="1">
      <alignment/>
      <protection/>
    </xf>
    <xf numFmtId="1" fontId="0" fillId="0" borderId="0" xfId="0" applyNumberFormat="1" applyFont="1" applyFill="1" applyBorder="1" applyAlignment="1" applyProtection="1">
      <alignment horizontal="center"/>
      <protection/>
    </xf>
    <xf numFmtId="1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 fontId="1" fillId="30" borderId="3" xfId="58" applyNumberFormat="1" applyAlignment="1">
      <alignment horizontal="center"/>
      <protection locked="0"/>
    </xf>
    <xf numFmtId="2" fontId="1" fillId="30" borderId="3" xfId="58" applyFont="1" applyAlignment="1" applyProtection="1">
      <alignment/>
      <protection locked="0"/>
    </xf>
    <xf numFmtId="10" fontId="1" fillId="30" borderId="3" xfId="58" applyNumberFormat="1" applyAlignment="1">
      <alignment horizontal="center"/>
      <protection locked="0"/>
    </xf>
    <xf numFmtId="2" fontId="1" fillId="30" borderId="3" xfId="58" applyFont="1" applyAlignment="1">
      <alignment horizontal="center"/>
      <protection locked="0"/>
    </xf>
    <xf numFmtId="2" fontId="1" fillId="30" borderId="3" xfId="58" applyFont="1" applyAlignment="1">
      <alignment horizontal="center" vertical="top"/>
      <protection locked="0"/>
    </xf>
    <xf numFmtId="4" fontId="0" fillId="0" borderId="0" xfId="0" applyNumberFormat="1" applyFont="1" applyAlignment="1" applyProtection="1">
      <alignment/>
      <protection/>
    </xf>
    <xf numFmtId="2" fontId="1" fillId="30" borderId="3" xfId="58" applyFont="1" applyAlignment="1">
      <alignment/>
      <protection locked="0"/>
    </xf>
    <xf numFmtId="10" fontId="11" fillId="0" borderId="11" xfId="0" applyNumberFormat="1" applyFont="1" applyBorder="1" applyAlignment="1" applyProtection="1">
      <alignment horizontal="center"/>
      <protection/>
    </xf>
    <xf numFmtId="165" fontId="11" fillId="0" borderId="11" xfId="0" applyNumberFormat="1" applyFont="1" applyBorder="1" applyAlignment="1" applyProtection="1">
      <alignment horizontal="center"/>
      <protection/>
    </xf>
    <xf numFmtId="164" fontId="0" fillId="0" borderId="14" xfId="0" applyNumberFormat="1" applyFont="1" applyFill="1" applyBorder="1" applyAlignment="1" applyProtection="1">
      <alignment/>
      <protection/>
    </xf>
    <xf numFmtId="164" fontId="11" fillId="0" borderId="12" xfId="0" applyNumberFormat="1" applyFont="1" applyFill="1" applyBorder="1" applyAlignment="1" applyProtection="1">
      <alignment/>
      <protection/>
    </xf>
    <xf numFmtId="2" fontId="11" fillId="0" borderId="11" xfId="0" applyFont="1" applyBorder="1" applyAlignment="1" applyProtection="1">
      <alignment/>
      <protection/>
    </xf>
    <xf numFmtId="4" fontId="11" fillId="0" borderId="11" xfId="0" applyNumberFormat="1" applyFont="1" applyBorder="1" applyAlignment="1" applyProtection="1">
      <alignment/>
      <protection/>
    </xf>
    <xf numFmtId="10" fontId="11" fillId="0" borderId="0" xfId="0" applyNumberFormat="1" applyFont="1" applyBorder="1" applyAlignment="1" applyProtection="1">
      <alignment horizontal="center"/>
      <protection/>
    </xf>
    <xf numFmtId="165" fontId="11" fillId="0" borderId="0" xfId="0" applyNumberFormat="1" applyFont="1" applyBorder="1" applyAlignment="1" applyProtection="1">
      <alignment horizontal="center"/>
      <protection/>
    </xf>
    <xf numFmtId="164" fontId="0" fillId="0" borderId="0" xfId="0" applyNumberFormat="1" applyFont="1" applyFill="1" applyBorder="1" applyAlignment="1" applyProtection="1">
      <alignment horizontal="center"/>
      <protection/>
    </xf>
    <xf numFmtId="1" fontId="0" fillId="36" borderId="0" xfId="0" applyNumberFormat="1" applyFont="1" applyFill="1" applyBorder="1" applyAlignment="1" applyProtection="1">
      <alignment horizontal="center"/>
      <protection/>
    </xf>
    <xf numFmtId="0" fontId="0" fillId="36" borderId="0" xfId="0" applyNumberFormat="1" applyFont="1" applyFill="1" applyBorder="1" applyAlignment="1" applyProtection="1">
      <alignment/>
      <protection/>
    </xf>
    <xf numFmtId="164" fontId="0" fillId="36" borderId="0" xfId="0" applyNumberFormat="1" applyFont="1" applyFill="1" applyBorder="1" applyAlignment="1" applyProtection="1">
      <alignment/>
      <protection/>
    </xf>
    <xf numFmtId="10" fontId="0" fillId="36" borderId="0" xfId="0" applyNumberFormat="1" applyFont="1" applyFill="1" applyBorder="1" applyAlignment="1" applyProtection="1">
      <alignment horizontal="center"/>
      <protection/>
    </xf>
    <xf numFmtId="0" fontId="0" fillId="36" borderId="0" xfId="0" applyNumberFormat="1" applyFont="1" applyFill="1" applyBorder="1" applyAlignment="1" applyProtection="1">
      <alignment horizontal="center"/>
      <protection/>
    </xf>
    <xf numFmtId="164" fontId="0" fillId="36" borderId="0" xfId="0" applyNumberFormat="1" applyFont="1" applyFill="1" applyBorder="1" applyAlignment="1" applyProtection="1">
      <alignment horizontal="center"/>
      <protection/>
    </xf>
    <xf numFmtId="2" fontId="0" fillId="37" borderId="0" xfId="0" applyFont="1" applyFill="1" applyAlignment="1" applyProtection="1">
      <alignment/>
      <protection/>
    </xf>
    <xf numFmtId="1" fontId="0" fillId="37" borderId="0" xfId="0" applyNumberFormat="1" applyFont="1" applyFill="1" applyAlignment="1" applyProtection="1">
      <alignment/>
      <protection/>
    </xf>
    <xf numFmtId="164" fontId="0" fillId="37" borderId="0" xfId="0" applyNumberFormat="1" applyFont="1" applyFill="1" applyAlignment="1" applyProtection="1">
      <alignment/>
      <protection/>
    </xf>
    <xf numFmtId="10" fontId="0" fillId="37" borderId="0" xfId="0" applyNumberFormat="1" applyFont="1" applyFill="1" applyAlignment="1" applyProtection="1">
      <alignment horizontal="center"/>
      <protection/>
    </xf>
    <xf numFmtId="2" fontId="0" fillId="37" borderId="0" xfId="0" applyFont="1" applyFill="1" applyAlignment="1" applyProtection="1">
      <alignment horizontal="center"/>
      <protection/>
    </xf>
    <xf numFmtId="2" fontId="11" fillId="0" borderId="0" xfId="0" applyFont="1" applyAlignment="1" applyProtection="1">
      <alignment/>
      <protection/>
    </xf>
    <xf numFmtId="0" fontId="0" fillId="0" borderId="0" xfId="0" applyNumberFormat="1" applyFont="1" applyAlignment="1" applyProtection="1">
      <alignment/>
      <protection/>
    </xf>
    <xf numFmtId="1" fontId="11" fillId="0" borderId="0" xfId="0" applyNumberFormat="1" applyFont="1" applyAlignment="1" applyProtection="1">
      <alignment horizontal="center" vertical="center" wrapText="1"/>
      <protection/>
    </xf>
    <xf numFmtId="1" fontId="1" fillId="30" borderId="3" xfId="58" applyNumberFormat="1" applyAlignment="1">
      <alignment horizontal="center" vertical="center"/>
      <protection locked="0"/>
    </xf>
    <xf numFmtId="165" fontId="1" fillId="30" borderId="3" xfId="58" applyNumberFormat="1" applyAlignment="1">
      <alignment horizontal="center"/>
      <protection locked="0"/>
    </xf>
    <xf numFmtId="1" fontId="0" fillId="0" borderId="0" xfId="0" applyNumberFormat="1" applyFont="1" applyAlignment="1" applyProtection="1">
      <alignment horizontal="center" vertical="center"/>
      <protection/>
    </xf>
    <xf numFmtId="2" fontId="11" fillId="0" borderId="0" xfId="0" applyFont="1" applyAlignment="1" applyProtection="1">
      <alignment horizontal="right"/>
      <protection/>
    </xf>
    <xf numFmtId="165" fontId="11" fillId="0" borderId="0" xfId="0" applyNumberFormat="1" applyFont="1" applyAlignment="1" applyProtection="1">
      <alignment horizontal="center"/>
      <protection/>
    </xf>
    <xf numFmtId="165" fontId="0" fillId="0" borderId="0" xfId="0" applyNumberFormat="1" applyFont="1" applyAlignment="1" applyProtection="1">
      <alignment horizontal="center"/>
      <protection/>
    </xf>
    <xf numFmtId="2" fontId="16" fillId="0" borderId="0" xfId="46" applyNumberFormat="1" applyFont="1" applyFill="1" applyBorder="1" applyAlignment="1" applyProtection="1">
      <alignment/>
      <protection/>
    </xf>
    <xf numFmtId="2" fontId="11" fillId="0" borderId="0" xfId="0" applyFont="1" applyAlignment="1" applyProtection="1">
      <alignment horizontal="center"/>
      <protection/>
    </xf>
    <xf numFmtId="165" fontId="11" fillId="0" borderId="12" xfId="0" applyNumberFormat="1" applyFont="1" applyBorder="1" applyAlignment="1" applyProtection="1">
      <alignment horizontal="center"/>
      <protection/>
    </xf>
    <xf numFmtId="2" fontId="11" fillId="0" borderId="12" xfId="0" applyFont="1" applyBorder="1" applyAlignment="1" applyProtection="1">
      <alignment horizontal="center"/>
      <protection/>
    </xf>
    <xf numFmtId="1" fontId="0" fillId="37" borderId="0" xfId="0" applyNumberFormat="1" applyFont="1" applyFill="1" applyAlignment="1" applyProtection="1">
      <alignment horizontal="center"/>
      <protection/>
    </xf>
    <xf numFmtId="165" fontId="0" fillId="37" borderId="0" xfId="0" applyNumberFormat="1" applyFont="1" applyFill="1" applyAlignment="1" applyProtection="1">
      <alignment horizontal="center"/>
      <protection/>
    </xf>
    <xf numFmtId="2" fontId="0" fillId="30" borderId="0" xfId="0" applyFont="1" applyFill="1" applyAlignment="1" applyProtection="1">
      <alignment/>
      <protection/>
    </xf>
    <xf numFmtId="1" fontId="0" fillId="30" borderId="0" xfId="0" applyNumberFormat="1" applyFont="1" applyFill="1" applyAlignment="1" applyProtection="1">
      <alignment/>
      <protection/>
    </xf>
    <xf numFmtId="164" fontId="0" fillId="30" borderId="0" xfId="0" applyNumberFormat="1" applyFont="1" applyFill="1" applyAlignment="1" applyProtection="1">
      <alignment/>
      <protection/>
    </xf>
    <xf numFmtId="165" fontId="0" fillId="30" borderId="0" xfId="0" applyNumberFormat="1" applyFont="1" applyFill="1" applyAlignment="1" applyProtection="1">
      <alignment horizontal="center"/>
      <protection/>
    </xf>
    <xf numFmtId="2" fontId="0" fillId="30" borderId="0" xfId="0" applyFont="1" applyFill="1" applyAlignment="1" applyProtection="1">
      <alignment horizontal="center"/>
      <protection/>
    </xf>
    <xf numFmtId="4" fontId="11" fillId="0" borderId="0" xfId="0" applyNumberFormat="1" applyFont="1" applyFill="1" applyBorder="1" applyAlignment="1" applyProtection="1">
      <alignment horizontal="center" vertical="center" wrapText="1"/>
      <protection/>
    </xf>
    <xf numFmtId="165" fontId="11"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protection/>
    </xf>
    <xf numFmtId="2" fontId="0" fillId="0" borderId="0" xfId="0" applyNumberFormat="1" applyFont="1" applyAlignment="1" applyProtection="1">
      <alignment/>
      <protection/>
    </xf>
    <xf numFmtId="1" fontId="11" fillId="0" borderId="0" xfId="0" applyNumberFormat="1" applyFont="1" applyFill="1" applyBorder="1" applyAlignment="1" applyProtection="1">
      <alignment wrapText="1"/>
      <protection/>
    </xf>
    <xf numFmtId="1" fontId="11" fillId="0" borderId="0" xfId="0" applyNumberFormat="1" applyFont="1" applyFill="1" applyBorder="1" applyAlignment="1" applyProtection="1">
      <alignment horizontal="center"/>
      <protection/>
    </xf>
    <xf numFmtId="4" fontId="11"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horizontal="center"/>
      <protection/>
    </xf>
    <xf numFmtId="165" fontId="11" fillId="0" borderId="0" xfId="0" applyNumberFormat="1" applyFont="1" applyFill="1" applyBorder="1" applyAlignment="1" applyProtection="1">
      <alignment horizontal="center"/>
      <protection/>
    </xf>
    <xf numFmtId="164" fontId="11" fillId="0" borderId="0" xfId="0" applyNumberFormat="1" applyFont="1" applyFill="1" applyBorder="1" applyAlignment="1" applyProtection="1">
      <alignment horizontal="left"/>
      <protection/>
    </xf>
    <xf numFmtId="1" fontId="1" fillId="30" borderId="3" xfId="58" applyNumberFormat="1" applyAlignment="1">
      <alignment/>
      <protection locked="0"/>
    </xf>
    <xf numFmtId="1" fontId="1" fillId="30" borderId="3" xfId="58" applyNumberFormat="1" applyAlignment="1">
      <alignment horizontal="center" wrapText="1"/>
      <protection locked="0"/>
    </xf>
    <xf numFmtId="4" fontId="11" fillId="0" borderId="0" xfId="0" applyNumberFormat="1" applyFont="1" applyFill="1" applyBorder="1" applyAlignment="1" applyProtection="1">
      <alignment horizontal="center"/>
      <protection/>
    </xf>
    <xf numFmtId="165"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wrapText="1"/>
      <protection/>
    </xf>
    <xf numFmtId="4" fontId="0" fillId="0" borderId="0" xfId="0" applyNumberFormat="1" applyFont="1" applyFill="1" applyBorder="1" applyAlignment="1" applyProtection="1">
      <alignment horizontal="center"/>
      <protection/>
    </xf>
    <xf numFmtId="1" fontId="0" fillId="0" borderId="0" xfId="0" applyNumberFormat="1" applyFont="1" applyAlignment="1" applyProtection="1">
      <alignment/>
      <protection locked="0"/>
    </xf>
    <xf numFmtId="10" fontId="11" fillId="0" borderId="12" xfId="0" applyNumberFormat="1" applyFont="1" applyBorder="1" applyAlignment="1" applyProtection="1">
      <alignment horizontal="center"/>
      <protection/>
    </xf>
    <xf numFmtId="166" fontId="11" fillId="0" borderId="12" xfId="0" applyNumberFormat="1" applyFont="1" applyBorder="1" applyAlignment="1" applyProtection="1">
      <alignment horizontal="center"/>
      <protection/>
    </xf>
    <xf numFmtId="164" fontId="11" fillId="0" borderId="12" xfId="0" applyNumberFormat="1" applyFont="1" applyBorder="1" applyAlignment="1" applyProtection="1">
      <alignment/>
      <protection/>
    </xf>
    <xf numFmtId="1" fontId="0" fillId="30" borderId="0" xfId="0" applyNumberFormat="1" applyFont="1" applyFill="1" applyAlignment="1" applyProtection="1">
      <alignment horizontal="center"/>
      <protection/>
    </xf>
    <xf numFmtId="10" fontId="0" fillId="30" borderId="0" xfId="0" applyNumberFormat="1" applyFont="1" applyFill="1" applyAlignment="1" applyProtection="1">
      <alignment horizontal="center"/>
      <protection/>
    </xf>
    <xf numFmtId="1" fontId="0" fillId="0" borderId="0" xfId="0" applyNumberFormat="1" applyAlignment="1" applyProtection="1">
      <alignment/>
      <protection/>
    </xf>
    <xf numFmtId="2" fontId="0" fillId="0" borderId="0" xfId="0" applyAlignment="1" applyProtection="1">
      <alignment/>
      <protection/>
    </xf>
    <xf numFmtId="164" fontId="0" fillId="0" borderId="0" xfId="0" applyNumberFormat="1" applyAlignment="1" applyProtection="1">
      <alignment/>
      <protection/>
    </xf>
    <xf numFmtId="166" fontId="0" fillId="0" borderId="0" xfId="0" applyNumberFormat="1" applyAlignment="1" applyProtection="1">
      <alignment/>
      <protection/>
    </xf>
    <xf numFmtId="2" fontId="2" fillId="0" borderId="0" xfId="0" applyFont="1" applyAlignment="1" applyProtection="1">
      <alignment horizontal="left" wrapText="1"/>
      <protection/>
    </xf>
    <xf numFmtId="1" fontId="11" fillId="29" borderId="15" xfId="0" applyNumberFormat="1" applyFont="1" applyFill="1" applyBorder="1" applyAlignment="1" applyProtection="1">
      <alignment horizontal="center"/>
      <protection/>
    </xf>
    <xf numFmtId="1" fontId="11" fillId="29" borderId="15" xfId="0" applyNumberFormat="1" applyFont="1" applyFill="1" applyBorder="1" applyAlignment="1" applyProtection="1">
      <alignment/>
      <protection/>
    </xf>
    <xf numFmtId="164" fontId="11" fillId="29" borderId="15" xfId="0" applyNumberFormat="1" applyFont="1" applyFill="1" applyBorder="1" applyAlignment="1" applyProtection="1">
      <alignment/>
      <protection/>
    </xf>
    <xf numFmtId="166" fontId="11" fillId="29" borderId="15" xfId="0" applyNumberFormat="1" applyFont="1" applyFill="1" applyBorder="1" applyAlignment="1" applyProtection="1">
      <alignment/>
      <protection/>
    </xf>
    <xf numFmtId="1" fontId="0" fillId="29" borderId="15" xfId="0" applyNumberFormat="1" applyFill="1" applyBorder="1" applyAlignment="1" applyProtection="1">
      <alignment/>
      <protection/>
    </xf>
    <xf numFmtId="0" fontId="0" fillId="0" borderId="15" xfId="0" applyNumberFormat="1" applyFont="1" applyBorder="1" applyAlignment="1" applyProtection="1">
      <alignment/>
      <protection/>
    </xf>
    <xf numFmtId="1" fontId="0" fillId="0" borderId="15" xfId="0" applyNumberFormat="1" applyBorder="1" applyAlignment="1" applyProtection="1">
      <alignment/>
      <protection/>
    </xf>
    <xf numFmtId="164" fontId="0" fillId="0" borderId="15" xfId="0" applyNumberFormat="1" applyBorder="1" applyAlignment="1" applyProtection="1">
      <alignment/>
      <protection/>
    </xf>
    <xf numFmtId="166" fontId="0" fillId="0" borderId="15" xfId="0" applyNumberFormat="1" applyBorder="1" applyAlignment="1" applyProtection="1">
      <alignment/>
      <protection/>
    </xf>
    <xf numFmtId="1" fontId="0" fillId="0" borderId="0" xfId="0" applyNumberFormat="1" applyFont="1" applyBorder="1" applyAlignment="1" applyProtection="1">
      <alignment wrapText="1"/>
      <protection/>
    </xf>
    <xf numFmtId="1" fontId="0" fillId="29" borderId="15" xfId="0" applyNumberFormat="1" applyFont="1" applyFill="1" applyBorder="1" applyAlignment="1" applyProtection="1">
      <alignment/>
      <protection/>
    </xf>
    <xf numFmtId="2" fontId="0" fillId="0" borderId="15" xfId="0" applyFont="1" applyBorder="1" applyAlignment="1" applyProtection="1">
      <alignment/>
      <protection/>
    </xf>
    <xf numFmtId="1" fontId="12" fillId="30" borderId="3" xfId="48" applyNumberFormat="1" applyFont="1" applyAlignment="1" applyProtection="1">
      <alignment/>
      <protection locked="0"/>
    </xf>
    <xf numFmtId="164" fontId="0" fillId="0" borderId="15" xfId="0" applyNumberFormat="1" applyFont="1" applyBorder="1" applyAlignment="1" applyProtection="1">
      <alignment/>
      <protection/>
    </xf>
    <xf numFmtId="166" fontId="0" fillId="0" borderId="15" xfId="0" applyNumberFormat="1" applyFont="1" applyBorder="1" applyAlignment="1" applyProtection="1">
      <alignment/>
      <protection/>
    </xf>
    <xf numFmtId="2" fontId="11" fillId="0" borderId="15" xfId="0" applyFont="1" applyBorder="1" applyAlignment="1" applyProtection="1">
      <alignment horizontal="right"/>
      <protection/>
    </xf>
    <xf numFmtId="1" fontId="11" fillId="0" borderId="15" xfId="0" applyNumberFormat="1" applyFont="1" applyBorder="1" applyAlignment="1" applyProtection="1">
      <alignment/>
      <protection/>
    </xf>
    <xf numFmtId="164" fontId="11" fillId="0" borderId="15" xfId="0" applyNumberFormat="1" applyFont="1" applyBorder="1" applyAlignment="1" applyProtection="1">
      <alignment/>
      <protection/>
    </xf>
    <xf numFmtId="166" fontId="11" fillId="0" borderId="15" xfId="0" applyNumberFormat="1" applyFont="1" applyBorder="1" applyAlignment="1" applyProtection="1">
      <alignment/>
      <protection/>
    </xf>
    <xf numFmtId="2" fontId="11" fillId="0" borderId="15" xfId="0" applyFont="1" applyBorder="1" applyAlignment="1" applyProtection="1">
      <alignment/>
      <protection/>
    </xf>
    <xf numFmtId="2" fontId="0" fillId="0" borderId="15" xfId="0" applyFont="1" applyFill="1" applyBorder="1" applyAlignment="1" applyProtection="1">
      <alignment/>
      <protection/>
    </xf>
    <xf numFmtId="1" fontId="0" fillId="0" borderId="15" xfId="0" applyNumberFormat="1" applyFont="1" applyFill="1" applyBorder="1" applyAlignment="1" applyProtection="1">
      <alignment/>
      <protection/>
    </xf>
    <xf numFmtId="164" fontId="12" fillId="30" borderId="3" xfId="48" applyNumberFormat="1" applyFont="1" applyAlignment="1" applyProtection="1">
      <alignment/>
      <protection locked="0"/>
    </xf>
    <xf numFmtId="166" fontId="0" fillId="0" borderId="15"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 fontId="0" fillId="0" borderId="15" xfId="0" applyNumberFormat="1" applyFont="1" applyBorder="1" applyAlignment="1" applyProtection="1">
      <alignment/>
      <protection/>
    </xf>
    <xf numFmtId="40" fontId="11" fillId="29" borderId="15" xfId="0" applyNumberFormat="1" applyFont="1" applyFill="1" applyBorder="1" applyAlignment="1" applyProtection="1">
      <alignment/>
      <protection/>
    </xf>
    <xf numFmtId="166" fontId="0" fillId="0" borderId="0" xfId="0" applyNumberFormat="1" applyFont="1" applyAlignment="1" applyProtection="1">
      <alignment/>
      <protection/>
    </xf>
    <xf numFmtId="1" fontId="11" fillId="38" borderId="15" xfId="0" applyNumberFormat="1" applyFont="1" applyFill="1" applyBorder="1" applyAlignment="1" applyProtection="1">
      <alignment horizontal="center"/>
      <protection/>
    </xf>
    <xf numFmtId="2" fontId="0" fillId="38" borderId="15" xfId="0" applyFont="1" applyFill="1" applyBorder="1" applyAlignment="1" applyProtection="1">
      <alignment/>
      <protection/>
    </xf>
    <xf numFmtId="1" fontId="0" fillId="38" borderId="15" xfId="0" applyNumberFormat="1" applyFont="1" applyFill="1" applyBorder="1" applyAlignment="1" applyProtection="1">
      <alignment/>
      <protection/>
    </xf>
    <xf numFmtId="164" fontId="0" fillId="38" borderId="15" xfId="0" applyNumberFormat="1" applyFont="1" applyFill="1" applyBorder="1" applyAlignment="1" applyProtection="1">
      <alignment/>
      <protection/>
    </xf>
    <xf numFmtId="164" fontId="0" fillId="38" borderId="15" xfId="0" applyNumberFormat="1" applyFont="1" applyFill="1" applyBorder="1" applyAlignment="1" applyProtection="1">
      <alignment/>
      <protection/>
    </xf>
    <xf numFmtId="166" fontId="0" fillId="38" borderId="15" xfId="0" applyNumberFormat="1" applyFont="1" applyFill="1" applyBorder="1" applyAlignment="1" applyProtection="1">
      <alignment/>
      <protection/>
    </xf>
    <xf numFmtId="40" fontId="11" fillId="38" borderId="15" xfId="0" applyNumberFormat="1" applyFont="1" applyFill="1" applyBorder="1" applyAlignment="1" applyProtection="1">
      <alignment/>
      <protection/>
    </xf>
    <xf numFmtId="164" fontId="11" fillId="38" borderId="15" xfId="0" applyNumberFormat="1" applyFont="1" applyFill="1" applyBorder="1" applyAlignment="1" applyProtection="1">
      <alignment/>
      <protection/>
    </xf>
    <xf numFmtId="40" fontId="0" fillId="39" borderId="15" xfId="0" applyNumberFormat="1" applyFont="1" applyFill="1" applyBorder="1" applyAlignment="1" applyProtection="1">
      <alignment/>
      <protection/>
    </xf>
    <xf numFmtId="164" fontId="0" fillId="39" borderId="15" xfId="0" applyNumberFormat="1" applyFont="1" applyFill="1" applyBorder="1" applyAlignment="1" applyProtection="1">
      <alignment/>
      <protection/>
    </xf>
    <xf numFmtId="40" fontId="0" fillId="0" borderId="15" xfId="0" applyNumberFormat="1" applyFont="1" applyBorder="1" applyAlignment="1" applyProtection="1">
      <alignment/>
      <protection/>
    </xf>
    <xf numFmtId="40" fontId="0" fillId="40" borderId="15" xfId="0" applyNumberFormat="1" applyFont="1" applyFill="1" applyBorder="1" applyAlignment="1" applyProtection="1">
      <alignment/>
      <protection/>
    </xf>
    <xf numFmtId="164" fontId="0" fillId="40" borderId="15" xfId="0" applyNumberFormat="1" applyFont="1" applyFill="1" applyBorder="1" applyAlignment="1" applyProtection="1">
      <alignment/>
      <protection/>
    </xf>
    <xf numFmtId="0" fontId="11" fillId="0" borderId="0" xfId="0" applyNumberFormat="1" applyFont="1" applyAlignment="1" applyProtection="1">
      <alignment horizontal="right"/>
      <protection/>
    </xf>
    <xf numFmtId="10" fontId="0" fillId="0" borderId="0" xfId="0" applyNumberFormat="1" applyFont="1" applyFill="1" applyBorder="1" applyAlignment="1" applyProtection="1">
      <alignment/>
      <protection/>
    </xf>
    <xf numFmtId="10" fontId="0" fillId="0" borderId="15" xfId="0" applyNumberFormat="1" applyFont="1" applyFill="1" applyBorder="1" applyAlignment="1" applyProtection="1">
      <alignment/>
      <protection/>
    </xf>
    <xf numFmtId="10" fontId="12" fillId="0" borderId="15" xfId="48" applyNumberFormat="1" applyFont="1" applyFill="1" applyBorder="1" applyAlignment="1" applyProtection="1">
      <alignment/>
      <protection/>
    </xf>
    <xf numFmtId="10" fontId="12" fillId="30" borderId="16" xfId="48" applyNumberFormat="1" applyFont="1" applyBorder="1" applyAlignment="1" applyProtection="1">
      <alignment/>
      <protection locked="0"/>
    </xf>
    <xf numFmtId="10" fontId="0" fillId="0" borderId="17" xfId="48" applyNumberFormat="1" applyFont="1" applyFill="1" applyBorder="1" applyAlignment="1" applyProtection="1">
      <alignment/>
      <protection/>
    </xf>
    <xf numFmtId="10" fontId="0" fillId="0" borderId="18" xfId="0" applyNumberFormat="1" applyFont="1" applyBorder="1" applyAlignment="1">
      <alignment/>
    </xf>
    <xf numFmtId="10" fontId="0" fillId="0" borderId="15" xfId="0" applyNumberFormat="1" applyFont="1" applyBorder="1" applyAlignment="1" applyProtection="1">
      <alignment/>
      <protection/>
    </xf>
    <xf numFmtId="10" fontId="0" fillId="0" borderId="19" xfId="0" applyNumberFormat="1" applyFont="1" applyFill="1" applyBorder="1" applyAlignment="1" applyProtection="1">
      <alignment/>
      <protection/>
    </xf>
    <xf numFmtId="2" fontId="0" fillId="0" borderId="19" xfId="0" applyFont="1" applyBorder="1" applyAlignment="1" applyProtection="1">
      <alignment/>
      <protection/>
    </xf>
    <xf numFmtId="10" fontId="12" fillId="30" borderId="20" xfId="48" applyNumberFormat="1" applyFont="1" applyBorder="1" applyAlignment="1" applyProtection="1">
      <alignment/>
      <protection locked="0"/>
    </xf>
    <xf numFmtId="0" fontId="0" fillId="0" borderId="15" xfId="0" applyNumberFormat="1" applyFont="1" applyFill="1" applyBorder="1" applyAlignment="1" applyProtection="1">
      <alignment/>
      <protection/>
    </xf>
    <xf numFmtId="2" fontId="0" fillId="0" borderId="16" xfId="0" applyFont="1" applyBorder="1" applyAlignment="1" applyProtection="1">
      <alignment/>
      <protection/>
    </xf>
    <xf numFmtId="0" fontId="12" fillId="30" borderId="21" xfId="48" applyNumberFormat="1" applyFont="1" applyBorder="1" applyAlignment="1" applyProtection="1">
      <alignment/>
      <protection locked="0"/>
    </xf>
    <xf numFmtId="0" fontId="12" fillId="30" borderId="22" xfId="48" applyNumberFormat="1" applyFont="1" applyBorder="1" applyAlignment="1" applyProtection="1">
      <alignment/>
      <protection locked="0"/>
    </xf>
    <xf numFmtId="164" fontId="0" fillId="0" borderId="0" xfId="0" applyNumberFormat="1" applyFont="1" applyBorder="1" applyAlignment="1" applyProtection="1">
      <alignment/>
      <protection/>
    </xf>
    <xf numFmtId="164" fontId="11" fillId="0" borderId="0" xfId="0" applyNumberFormat="1" applyFont="1" applyAlignment="1" applyProtection="1">
      <alignment horizontal="center"/>
      <protection/>
    </xf>
    <xf numFmtId="0" fontId="0" fillId="0" borderId="0" xfId="0" applyNumberFormat="1" applyFont="1" applyBorder="1" applyAlignment="1" applyProtection="1">
      <alignment/>
      <protection/>
    </xf>
    <xf numFmtId="0" fontId="11" fillId="0" borderId="0" xfId="0" applyNumberFormat="1" applyFont="1" applyAlignment="1" applyProtection="1">
      <alignment horizontal="center"/>
      <protection/>
    </xf>
    <xf numFmtId="0" fontId="17" fillId="0" borderId="0" xfId="0" applyNumberFormat="1" applyFont="1" applyBorder="1" applyAlignment="1" applyProtection="1">
      <alignment/>
      <protection/>
    </xf>
    <xf numFmtId="0" fontId="17" fillId="0" borderId="23" xfId="0" applyNumberFormat="1" applyFont="1" applyBorder="1" applyAlignment="1" applyProtection="1">
      <alignment/>
      <protection/>
    </xf>
    <xf numFmtId="0" fontId="17" fillId="0" borderId="15" xfId="0" applyNumberFormat="1" applyFont="1" applyBorder="1" applyAlignment="1" applyProtection="1">
      <alignment/>
      <protection/>
    </xf>
    <xf numFmtId="2" fontId="0" fillId="29" borderId="0" xfId="0" applyFont="1" applyFill="1" applyBorder="1" applyAlignment="1" applyProtection="1">
      <alignment/>
      <protection/>
    </xf>
    <xf numFmtId="2" fontId="11" fillId="29" borderId="0" xfId="0" applyFont="1" applyFill="1" applyAlignment="1" applyProtection="1">
      <alignment horizontal="center"/>
      <protection/>
    </xf>
    <xf numFmtId="2" fontId="0" fillId="29" borderId="0" xfId="0" applyFont="1" applyFill="1" applyAlignment="1" applyProtection="1">
      <alignment/>
      <protection/>
    </xf>
    <xf numFmtId="0" fontId="0" fillId="29" borderId="0" xfId="0" applyNumberFormat="1" applyFont="1" applyFill="1" applyBorder="1" applyAlignment="1" applyProtection="1">
      <alignment/>
      <protection/>
    </xf>
    <xf numFmtId="0" fontId="0" fillId="0" borderId="23" xfId="0" applyNumberFormat="1" applyFont="1" applyBorder="1" applyAlignment="1" applyProtection="1">
      <alignment/>
      <protection/>
    </xf>
    <xf numFmtId="166" fontId="0" fillId="0" borderId="19" xfId="0" applyNumberFormat="1" applyFont="1" applyBorder="1" applyAlignment="1" applyProtection="1">
      <alignment horizontal="right"/>
      <protection/>
    </xf>
    <xf numFmtId="166" fontId="12" fillId="30" borderId="21" xfId="48" applyNumberFormat="1" applyFont="1" applyBorder="1" applyAlignment="1" applyProtection="1">
      <alignment/>
      <protection locked="0"/>
    </xf>
    <xf numFmtId="166" fontId="12" fillId="30" borderId="22" xfId="48" applyNumberFormat="1" applyFont="1" applyBorder="1" applyAlignment="1" applyProtection="1">
      <alignment/>
      <protection locked="0"/>
    </xf>
    <xf numFmtId="166" fontId="0" fillId="0" borderId="16" xfId="0" applyNumberFormat="1" applyFont="1" applyBorder="1" applyAlignment="1" applyProtection="1">
      <alignment/>
      <protection/>
    </xf>
    <xf numFmtId="0" fontId="11" fillId="29" borderId="0" xfId="0" applyNumberFormat="1" applyFont="1" applyFill="1" applyBorder="1" applyAlignment="1" applyProtection="1">
      <alignment/>
      <protection/>
    </xf>
    <xf numFmtId="0" fontId="11" fillId="29" borderId="23" xfId="0" applyNumberFormat="1" applyFont="1" applyFill="1" applyBorder="1" applyAlignment="1" applyProtection="1">
      <alignment/>
      <protection/>
    </xf>
    <xf numFmtId="0" fontId="11" fillId="29" borderId="15" xfId="0" applyNumberFormat="1" applyFont="1" applyFill="1" applyBorder="1" applyAlignment="1" applyProtection="1">
      <alignment horizontal="right"/>
      <protection/>
    </xf>
    <xf numFmtId="0" fontId="11" fillId="29" borderId="15" xfId="0" applyNumberFormat="1" applyFont="1" applyFill="1" applyBorder="1" applyAlignment="1" applyProtection="1">
      <alignment/>
      <protection/>
    </xf>
    <xf numFmtId="0" fontId="0" fillId="38" borderId="0" xfId="0" applyNumberFormat="1" applyFont="1" applyFill="1" applyBorder="1" applyAlignment="1" applyProtection="1">
      <alignment/>
      <protection/>
    </xf>
    <xf numFmtId="0" fontId="11" fillId="38" borderId="0" xfId="0" applyNumberFormat="1" applyFont="1" applyFill="1" applyBorder="1" applyAlignment="1" applyProtection="1">
      <alignment horizontal="center"/>
      <protection/>
    </xf>
    <xf numFmtId="166" fontId="0" fillId="38" borderId="0" xfId="0" applyNumberFormat="1" applyFont="1" applyFill="1" applyBorder="1" applyAlignment="1" applyProtection="1">
      <alignment/>
      <protection/>
    </xf>
    <xf numFmtId="0" fontId="0" fillId="0" borderId="24" xfId="0" applyNumberFormat="1" applyFont="1" applyBorder="1" applyAlignment="1" applyProtection="1">
      <alignment/>
      <protection/>
    </xf>
    <xf numFmtId="0" fontId="0" fillId="0" borderId="19" xfId="0" applyNumberFormat="1" applyFont="1" applyBorder="1" applyAlignment="1" applyProtection="1">
      <alignment/>
      <protection/>
    </xf>
    <xf numFmtId="166" fontId="0" fillId="0" borderId="19" xfId="0" applyNumberFormat="1" applyFont="1" applyBorder="1" applyAlignment="1" applyProtection="1">
      <alignment/>
      <protection/>
    </xf>
    <xf numFmtId="166" fontId="0" fillId="0" borderId="15" xfId="0" applyNumberFormat="1" applyFont="1" applyBorder="1" applyAlignment="1" applyProtection="1">
      <alignment horizontal="right"/>
      <protection/>
    </xf>
    <xf numFmtId="166" fontId="12" fillId="30" borderId="3" xfId="48" applyNumberFormat="1" applyFont="1" applyAlignment="1" applyProtection="1">
      <alignment/>
      <protection locked="0"/>
    </xf>
    <xf numFmtId="166" fontId="0" fillId="0" borderId="15" xfId="0" applyNumberFormat="1" applyFont="1" applyBorder="1" applyAlignment="1" applyProtection="1">
      <alignment/>
      <protection/>
    </xf>
    <xf numFmtId="2" fontId="0" fillId="0" borderId="25" xfId="0" applyFont="1" applyBorder="1" applyAlignment="1" applyProtection="1">
      <alignment wrapText="1"/>
      <protection/>
    </xf>
    <xf numFmtId="0" fontId="0" fillId="0" borderId="15" xfId="0" applyNumberFormat="1" applyFont="1" applyFill="1" applyBorder="1" applyAlignment="1" applyProtection="1">
      <alignment horizontal="right" wrapText="1"/>
      <protection/>
    </xf>
    <xf numFmtId="0" fontId="0" fillId="38" borderId="23" xfId="0" applyNumberFormat="1" applyFont="1" applyFill="1" applyBorder="1" applyAlignment="1" applyProtection="1">
      <alignment/>
      <protection/>
    </xf>
    <xf numFmtId="0" fontId="11" fillId="38" borderId="15" xfId="0" applyNumberFormat="1" applyFont="1" applyFill="1" applyBorder="1" applyAlignment="1" applyProtection="1">
      <alignment horizontal="right"/>
      <protection/>
    </xf>
    <xf numFmtId="166" fontId="11" fillId="38" borderId="15" xfId="0" applyNumberFormat="1" applyFont="1" applyFill="1" applyBorder="1" applyAlignment="1" applyProtection="1">
      <alignment/>
      <protection/>
    </xf>
    <xf numFmtId="0" fontId="0" fillId="38" borderId="15" xfId="0" applyNumberFormat="1" applyFont="1" applyFill="1" applyBorder="1" applyAlignment="1" applyProtection="1">
      <alignment/>
      <protection/>
    </xf>
    <xf numFmtId="0" fontId="0" fillId="39" borderId="0" xfId="0" applyNumberFormat="1" applyFont="1" applyFill="1" applyBorder="1" applyAlignment="1" applyProtection="1">
      <alignment/>
      <protection/>
    </xf>
    <xf numFmtId="0" fontId="11" fillId="39" borderId="23" xfId="0" applyNumberFormat="1" applyFont="1" applyFill="1" applyBorder="1" applyAlignment="1" applyProtection="1">
      <alignment horizontal="right"/>
      <protection/>
    </xf>
    <xf numFmtId="0" fontId="0" fillId="39" borderId="15" xfId="0" applyNumberFormat="1" applyFont="1" applyFill="1" applyBorder="1" applyAlignment="1" applyProtection="1">
      <alignment/>
      <protection/>
    </xf>
    <xf numFmtId="166" fontId="0" fillId="39" borderId="15" xfId="0" applyNumberFormat="1" applyFont="1" applyFill="1" applyBorder="1" applyAlignment="1" applyProtection="1">
      <alignment/>
      <protection/>
    </xf>
    <xf numFmtId="0" fontId="18" fillId="40" borderId="0" xfId="0" applyNumberFormat="1" applyFont="1" applyFill="1" applyBorder="1" applyAlignment="1" applyProtection="1">
      <alignment/>
      <protection/>
    </xf>
    <xf numFmtId="0" fontId="18" fillId="40" borderId="23" xfId="0" applyNumberFormat="1" applyFont="1" applyFill="1" applyBorder="1" applyAlignment="1" applyProtection="1">
      <alignment horizontal="right"/>
      <protection/>
    </xf>
    <xf numFmtId="0" fontId="18" fillId="40" borderId="15" xfId="0" applyNumberFormat="1" applyFont="1" applyFill="1" applyBorder="1" applyAlignment="1" applyProtection="1">
      <alignment/>
      <protection/>
    </xf>
    <xf numFmtId="166" fontId="18" fillId="40" borderId="15" xfId="0" applyNumberFormat="1" applyFont="1" applyFill="1" applyBorder="1" applyAlignment="1" applyProtection="1">
      <alignment/>
      <protection/>
    </xf>
    <xf numFmtId="0" fontId="11" fillId="0" borderId="25" xfId="0" applyNumberFormat="1" applyFont="1" applyBorder="1" applyAlignment="1" applyProtection="1">
      <alignment textRotation="90" wrapText="1"/>
      <protection/>
    </xf>
    <xf numFmtId="0" fontId="11" fillId="0" borderId="25" xfId="0" applyNumberFormat="1" applyFont="1" applyBorder="1" applyAlignment="1" applyProtection="1">
      <alignment horizontal="right" textRotation="90" wrapText="1"/>
      <protection/>
    </xf>
    <xf numFmtId="0" fontId="11" fillId="0" borderId="25" xfId="0" applyNumberFormat="1" applyFont="1" applyBorder="1" applyAlignment="1" applyProtection="1">
      <alignment horizontal="center" textRotation="90"/>
      <protection/>
    </xf>
    <xf numFmtId="0" fontId="11" fillId="0" borderId="24" xfId="0" applyNumberFormat="1" applyFont="1" applyBorder="1" applyAlignment="1" applyProtection="1">
      <alignment textRotation="90" wrapText="1"/>
      <protection/>
    </xf>
    <xf numFmtId="0" fontId="11" fillId="0" borderId="15" xfId="0" applyNumberFormat="1" applyFont="1" applyBorder="1" applyAlignment="1" applyProtection="1">
      <alignment horizontal="right"/>
      <protection/>
    </xf>
    <xf numFmtId="1" fontId="19" fillId="0" borderId="0" xfId="0" applyNumberFormat="1" applyFont="1" applyAlignment="1">
      <alignment/>
    </xf>
    <xf numFmtId="2" fontId="19" fillId="0" borderId="0" xfId="0" applyFont="1" applyAlignment="1">
      <alignment/>
    </xf>
    <xf numFmtId="2" fontId="19" fillId="0" borderId="0" xfId="0" applyFont="1" applyAlignment="1">
      <alignment horizontal="center"/>
    </xf>
    <xf numFmtId="166" fontId="19" fillId="0" borderId="0" xfId="0" applyNumberFormat="1" applyFont="1" applyAlignment="1">
      <alignment/>
    </xf>
    <xf numFmtId="166" fontId="19" fillId="0" borderId="0" xfId="0" applyNumberFormat="1" applyFont="1" applyFill="1" applyAlignment="1">
      <alignment/>
    </xf>
    <xf numFmtId="2" fontId="19" fillId="0" borderId="0" xfId="0" applyFont="1" applyFill="1" applyBorder="1" applyAlignment="1">
      <alignment/>
    </xf>
    <xf numFmtId="2" fontId="20" fillId="0" borderId="0" xfId="0" applyFont="1" applyFill="1" applyBorder="1" applyAlignment="1">
      <alignment/>
    </xf>
    <xf numFmtId="2" fontId="21" fillId="0" borderId="0" xfId="0" applyFont="1" applyAlignment="1">
      <alignment/>
    </xf>
    <xf numFmtId="2" fontId="22" fillId="0" borderId="0" xfId="0" applyFont="1" applyFill="1" applyAlignment="1">
      <alignment/>
    </xf>
    <xf numFmtId="2" fontId="23" fillId="0" borderId="0" xfId="0" applyFont="1" applyFill="1" applyAlignment="1">
      <alignment horizontal="right"/>
    </xf>
    <xf numFmtId="3" fontId="23" fillId="0" borderId="0" xfId="0" applyNumberFormat="1" applyFont="1" applyFill="1" applyBorder="1" applyAlignment="1">
      <alignment/>
    </xf>
    <xf numFmtId="4" fontId="23" fillId="0" borderId="0" xfId="0" applyNumberFormat="1" applyFont="1" applyFill="1" applyBorder="1" applyAlignment="1">
      <alignment/>
    </xf>
    <xf numFmtId="2" fontId="22" fillId="0" borderId="0" xfId="0" applyFont="1" applyFill="1" applyBorder="1" applyAlignment="1">
      <alignment/>
    </xf>
    <xf numFmtId="1" fontId="22" fillId="0" borderId="0" xfId="0" applyNumberFormat="1" applyFont="1" applyFill="1" applyBorder="1" applyAlignment="1">
      <alignment horizontal="center"/>
    </xf>
    <xf numFmtId="0" fontId="22" fillId="0" borderId="0" xfId="0" applyNumberFormat="1" applyFont="1" applyFill="1" applyBorder="1" applyAlignment="1">
      <alignment/>
    </xf>
    <xf numFmtId="1" fontId="20" fillId="0" borderId="0" xfId="0" applyNumberFormat="1" applyFont="1" applyFill="1" applyBorder="1" applyAlignment="1">
      <alignment horizontal="center"/>
    </xf>
    <xf numFmtId="0" fontId="20" fillId="0" borderId="0" xfId="0" applyNumberFormat="1" applyFont="1" applyFill="1" applyBorder="1" applyAlignment="1">
      <alignment/>
    </xf>
    <xf numFmtId="166" fontId="20" fillId="0" borderId="0" xfId="0" applyNumberFormat="1" applyFont="1" applyFill="1" applyBorder="1" applyAlignment="1">
      <alignment/>
    </xf>
    <xf numFmtId="2" fontId="20" fillId="41" borderId="0" xfId="0" applyFont="1" applyFill="1" applyBorder="1" applyAlignment="1">
      <alignment/>
    </xf>
    <xf numFmtId="2" fontId="22" fillId="41" borderId="0" xfId="0" applyFont="1" applyFill="1" applyAlignment="1">
      <alignment/>
    </xf>
    <xf numFmtId="2" fontId="23" fillId="41" borderId="0" xfId="0" applyFont="1" applyFill="1" applyAlignment="1">
      <alignment horizontal="right"/>
    </xf>
    <xf numFmtId="3" fontId="23" fillId="41" borderId="0" xfId="0" applyNumberFormat="1" applyFont="1" applyFill="1" applyBorder="1" applyAlignment="1">
      <alignment/>
    </xf>
    <xf numFmtId="4" fontId="23" fillId="41" borderId="0" xfId="0" applyNumberFormat="1" applyFont="1" applyFill="1" applyBorder="1" applyAlignment="1">
      <alignment/>
    </xf>
    <xf numFmtId="2" fontId="22" fillId="41" borderId="0" xfId="0" applyFont="1" applyFill="1" applyBorder="1" applyAlignment="1">
      <alignment/>
    </xf>
    <xf numFmtId="1" fontId="22" fillId="41" borderId="0" xfId="0" applyNumberFormat="1" applyFont="1" applyFill="1" applyBorder="1" applyAlignment="1">
      <alignment horizontal="center"/>
    </xf>
    <xf numFmtId="0" fontId="22" fillId="41" borderId="0" xfId="0" applyNumberFormat="1" applyFont="1" applyFill="1" applyBorder="1" applyAlignment="1">
      <alignment/>
    </xf>
    <xf numFmtId="1" fontId="20" fillId="41" borderId="0" xfId="0" applyNumberFormat="1" applyFont="1" applyFill="1" applyBorder="1" applyAlignment="1">
      <alignment horizontal="center"/>
    </xf>
    <xf numFmtId="0" fontId="20" fillId="0" borderId="0" xfId="0" applyNumberFormat="1" applyFont="1" applyBorder="1" applyAlignment="1">
      <alignment/>
    </xf>
    <xf numFmtId="1" fontId="20" fillId="0" borderId="0" xfId="0" applyNumberFormat="1" applyFont="1" applyBorder="1" applyAlignment="1">
      <alignment horizontal="center"/>
    </xf>
    <xf numFmtId="166" fontId="20" fillId="0" borderId="0" xfId="0" applyNumberFormat="1" applyFont="1" applyBorder="1" applyAlignment="1">
      <alignment/>
    </xf>
    <xf numFmtId="2" fontId="20" fillId="41" borderId="0" xfId="0" applyFont="1" applyFill="1" applyAlignment="1">
      <alignment/>
    </xf>
    <xf numFmtId="2" fontId="23" fillId="0" borderId="0" xfId="0" applyFont="1" applyBorder="1" applyAlignment="1">
      <alignment horizontal="left"/>
    </xf>
    <xf numFmtId="1" fontId="22" fillId="0" borderId="0" xfId="0" applyNumberFormat="1" applyFont="1" applyBorder="1" applyAlignment="1">
      <alignment horizontal="center"/>
    </xf>
    <xf numFmtId="2" fontId="22" fillId="0" borderId="0" xfId="0" applyFont="1" applyBorder="1" applyAlignment="1">
      <alignment/>
    </xf>
    <xf numFmtId="0" fontId="22" fillId="0" borderId="0" xfId="0" applyNumberFormat="1" applyFont="1" applyBorder="1" applyAlignment="1">
      <alignment/>
    </xf>
    <xf numFmtId="0" fontId="24"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4" fontId="20" fillId="0" borderId="0" xfId="0" applyNumberFormat="1" applyFont="1" applyFill="1" applyBorder="1" applyAlignment="1" applyProtection="1">
      <alignment/>
      <protection/>
    </xf>
    <xf numFmtId="4" fontId="25" fillId="0" borderId="0" xfId="48" applyNumberFormat="1" applyFont="1" applyFill="1" applyBorder="1" applyAlignment="1" applyProtection="1">
      <alignment/>
      <protection/>
    </xf>
    <xf numFmtId="2" fontId="22" fillId="0" borderId="0" xfId="0" applyFont="1" applyAlignment="1">
      <alignment/>
    </xf>
    <xf numFmtId="2" fontId="23" fillId="0" borderId="0" xfId="0" applyFont="1" applyAlignment="1">
      <alignment horizontal="right"/>
    </xf>
    <xf numFmtId="3" fontId="23" fillId="0" borderId="0" xfId="0" applyNumberFormat="1" applyFont="1" applyBorder="1" applyAlignment="1">
      <alignment/>
    </xf>
    <xf numFmtId="4" fontId="23" fillId="0" borderId="0" xfId="0" applyNumberFormat="1" applyFont="1" applyBorder="1" applyAlignment="1">
      <alignment/>
    </xf>
    <xf numFmtId="0" fontId="24" fillId="0" borderId="0" xfId="0" applyNumberFormat="1" applyFont="1" applyFill="1" applyBorder="1" applyAlignment="1" applyProtection="1">
      <alignment horizontal="right"/>
      <protection/>
    </xf>
    <xf numFmtId="4" fontId="24" fillId="0" borderId="0" xfId="0" applyNumberFormat="1" applyFont="1" applyFill="1" applyBorder="1" applyAlignment="1" applyProtection="1">
      <alignment/>
      <protection/>
    </xf>
    <xf numFmtId="1" fontId="23" fillId="41" borderId="0" xfId="0" applyNumberFormat="1" applyFont="1" applyFill="1" applyBorder="1" applyAlignment="1">
      <alignment horizontal="right"/>
    </xf>
    <xf numFmtId="4" fontId="22" fillId="41" borderId="0" xfId="0" applyNumberFormat="1" applyFont="1" applyFill="1" applyBorder="1" applyAlignment="1">
      <alignment horizontal="right"/>
    </xf>
    <xf numFmtId="2" fontId="20" fillId="42" borderId="0" xfId="0" applyFont="1" applyFill="1" applyAlignment="1">
      <alignment/>
    </xf>
    <xf numFmtId="2" fontId="22" fillId="42" borderId="0" xfId="0" applyFont="1" applyFill="1" applyAlignment="1">
      <alignment/>
    </xf>
    <xf numFmtId="2" fontId="23" fillId="42" borderId="0" xfId="0" applyFont="1" applyFill="1" applyAlignment="1">
      <alignment horizontal="right"/>
    </xf>
    <xf numFmtId="3" fontId="23" fillId="42" borderId="0" xfId="0" applyNumberFormat="1" applyFont="1" applyFill="1" applyBorder="1" applyAlignment="1">
      <alignment/>
    </xf>
    <xf numFmtId="4" fontId="23" fillId="42" borderId="0" xfId="0" applyNumberFormat="1" applyFont="1" applyFill="1" applyBorder="1" applyAlignment="1">
      <alignment/>
    </xf>
    <xf numFmtId="1" fontId="22" fillId="42" borderId="0" xfId="0" applyNumberFormat="1" applyFont="1" applyFill="1" applyBorder="1" applyAlignment="1">
      <alignment horizontal="center"/>
    </xf>
    <xf numFmtId="2" fontId="22" fillId="42" borderId="0" xfId="0" applyFont="1" applyFill="1" applyBorder="1" applyAlignment="1">
      <alignment/>
    </xf>
    <xf numFmtId="0" fontId="22" fillId="42" borderId="0" xfId="0" applyNumberFormat="1" applyFont="1" applyFill="1" applyBorder="1" applyAlignment="1">
      <alignment/>
    </xf>
    <xf numFmtId="4" fontId="22" fillId="42" borderId="0" xfId="0" applyNumberFormat="1" applyFont="1" applyFill="1" applyBorder="1" applyAlignment="1">
      <alignment horizontal="right"/>
    </xf>
    <xf numFmtId="1" fontId="20" fillId="42" borderId="0" xfId="0" applyNumberFormat="1" applyFont="1" applyFill="1" applyBorder="1" applyAlignment="1">
      <alignment horizontal="center"/>
    </xf>
    <xf numFmtId="2" fontId="24" fillId="0" borderId="0" xfId="0" applyFont="1" applyFill="1" applyBorder="1" applyAlignment="1">
      <alignment horizontal="center"/>
    </xf>
    <xf numFmtId="0" fontId="25" fillId="0" borderId="0" xfId="48" applyNumberFormat="1" applyFont="1" applyFill="1" applyBorder="1" applyAlignment="1" applyProtection="1">
      <alignment/>
      <protection/>
    </xf>
    <xf numFmtId="2" fontId="20" fillId="43" borderId="0" xfId="0" applyFont="1" applyFill="1" applyAlignment="1">
      <alignment/>
    </xf>
    <xf numFmtId="2" fontId="22" fillId="43" borderId="0" xfId="0" applyFont="1" applyFill="1" applyAlignment="1">
      <alignment/>
    </xf>
    <xf numFmtId="2" fontId="23" fillId="43" borderId="0" xfId="0" applyFont="1" applyFill="1" applyAlignment="1">
      <alignment horizontal="right"/>
    </xf>
    <xf numFmtId="3" fontId="23" fillId="43" borderId="0" xfId="0" applyNumberFormat="1" applyFont="1" applyFill="1" applyBorder="1" applyAlignment="1">
      <alignment/>
    </xf>
    <xf numFmtId="4" fontId="23" fillId="43" borderId="0" xfId="0" applyNumberFormat="1" applyFont="1" applyFill="1" applyBorder="1" applyAlignment="1">
      <alignment/>
    </xf>
    <xf numFmtId="1" fontId="22" fillId="43" borderId="0" xfId="0" applyNumberFormat="1" applyFont="1" applyFill="1" applyBorder="1" applyAlignment="1">
      <alignment horizontal="center"/>
    </xf>
    <xf numFmtId="2" fontId="22" fillId="43" borderId="0" xfId="0" applyFont="1" applyFill="1" applyBorder="1" applyAlignment="1">
      <alignment/>
    </xf>
    <xf numFmtId="0" fontId="22" fillId="43" borderId="0" xfId="0" applyNumberFormat="1" applyFont="1" applyFill="1" applyBorder="1" applyAlignment="1">
      <alignment/>
    </xf>
    <xf numFmtId="4" fontId="22" fillId="43" borderId="0" xfId="0" applyNumberFormat="1" applyFont="1" applyFill="1" applyBorder="1" applyAlignment="1">
      <alignment horizontal="right"/>
    </xf>
    <xf numFmtId="1" fontId="20" fillId="43" borderId="0" xfId="0" applyNumberFormat="1" applyFont="1" applyFill="1" applyBorder="1" applyAlignment="1">
      <alignment horizontal="center"/>
    </xf>
    <xf numFmtId="40" fontId="24" fillId="0" borderId="0" xfId="0" applyNumberFormat="1" applyFont="1" applyFill="1" applyBorder="1" applyAlignment="1" applyProtection="1">
      <alignment/>
      <protection/>
    </xf>
    <xf numFmtId="2" fontId="24" fillId="43" borderId="0" xfId="0" applyFont="1" applyFill="1" applyAlignment="1">
      <alignment horizontal="right"/>
    </xf>
    <xf numFmtId="3" fontId="24" fillId="43" borderId="0" xfId="0" applyNumberFormat="1" applyFont="1" applyFill="1" applyBorder="1" applyAlignment="1">
      <alignment/>
    </xf>
    <xf numFmtId="4" fontId="24" fillId="43" borderId="0" xfId="0" applyNumberFormat="1" applyFont="1" applyFill="1" applyBorder="1" applyAlignment="1">
      <alignment/>
    </xf>
    <xf numFmtId="2" fontId="20" fillId="43" borderId="0" xfId="0" applyFont="1" applyFill="1" applyBorder="1" applyAlignment="1">
      <alignment/>
    </xf>
    <xf numFmtId="0" fontId="20" fillId="43" borderId="0" xfId="0" applyNumberFormat="1" applyFont="1" applyFill="1" applyBorder="1" applyAlignment="1">
      <alignment/>
    </xf>
    <xf numFmtId="2" fontId="20" fillId="0" borderId="0" xfId="0" applyFont="1" applyBorder="1" applyAlignment="1">
      <alignment/>
    </xf>
    <xf numFmtId="2" fontId="19" fillId="41" borderId="0" xfId="0" applyFont="1" applyFill="1" applyAlignment="1">
      <alignment/>
    </xf>
    <xf numFmtId="0" fontId="20" fillId="41" borderId="0" xfId="0" applyNumberFormat="1" applyFont="1" applyFill="1" applyBorder="1" applyAlignment="1">
      <alignment/>
    </xf>
    <xf numFmtId="2" fontId="23" fillId="0" borderId="0" xfId="0" applyFont="1" applyAlignment="1">
      <alignment/>
    </xf>
    <xf numFmtId="0" fontId="25" fillId="0" borderId="0" xfId="48" applyNumberFormat="1" applyFont="1" applyFill="1" applyBorder="1" applyAlignment="1" applyProtection="1">
      <alignment horizontal="center"/>
      <protection/>
    </xf>
    <xf numFmtId="3" fontId="20" fillId="0" borderId="0" xfId="0" applyNumberFormat="1" applyFont="1" applyFill="1" applyBorder="1" applyAlignment="1">
      <alignment/>
    </xf>
    <xf numFmtId="2" fontId="22" fillId="0" borderId="18" xfId="0" applyFont="1" applyBorder="1" applyAlignment="1">
      <alignment/>
    </xf>
    <xf numFmtId="1" fontId="24" fillId="0" borderId="0" xfId="0" applyNumberFormat="1" applyFont="1" applyFill="1" applyBorder="1" applyAlignment="1">
      <alignment horizontal="center"/>
    </xf>
    <xf numFmtId="2" fontId="24" fillId="0" borderId="0" xfId="0" applyFont="1" applyFill="1" applyBorder="1" applyAlignment="1">
      <alignment horizontal="right"/>
    </xf>
    <xf numFmtId="3" fontId="24" fillId="0" borderId="0" xfId="0" applyNumberFormat="1" applyFont="1" applyFill="1" applyBorder="1" applyAlignment="1">
      <alignment/>
    </xf>
    <xf numFmtId="0" fontId="24" fillId="0" borderId="0" xfId="0" applyNumberFormat="1" applyFont="1" applyFill="1" applyBorder="1" applyAlignment="1">
      <alignment/>
    </xf>
    <xf numFmtId="2" fontId="22" fillId="41" borderId="0" xfId="0" applyFont="1" applyFill="1" applyBorder="1" applyAlignment="1">
      <alignment horizontal="right"/>
    </xf>
    <xf numFmtId="2" fontId="20" fillId="42" borderId="0" xfId="0" applyFont="1" applyFill="1" applyBorder="1" applyAlignment="1">
      <alignment/>
    </xf>
    <xf numFmtId="3" fontId="24" fillId="0" borderId="0" xfId="0" applyNumberFormat="1" applyFont="1" applyFill="1" applyBorder="1" applyAlignment="1">
      <alignment horizontal="center"/>
    </xf>
    <xf numFmtId="2" fontId="22" fillId="0" borderId="0" xfId="0" applyFont="1" applyFill="1" applyBorder="1" applyAlignment="1">
      <alignment horizontal="center"/>
    </xf>
    <xf numFmtId="9" fontId="25" fillId="0" borderId="0" xfId="48" applyNumberFormat="1" applyFont="1" applyFill="1" applyBorder="1" applyAlignment="1" applyProtection="1">
      <alignment horizontal="center"/>
      <protection/>
    </xf>
    <xf numFmtId="3" fontId="20" fillId="0" borderId="0" xfId="0" applyNumberFormat="1" applyFont="1" applyFill="1" applyBorder="1" applyAlignment="1">
      <alignment horizontal="right"/>
    </xf>
    <xf numFmtId="4" fontId="20" fillId="0" borderId="0" xfId="0" applyNumberFormat="1" applyFont="1" applyFill="1" applyBorder="1" applyAlignment="1">
      <alignment horizontal="right"/>
    </xf>
    <xf numFmtId="1" fontId="25" fillId="0" borderId="0" xfId="48" applyNumberFormat="1" applyFont="1" applyFill="1" applyBorder="1" applyAlignment="1" applyProtection="1">
      <alignment horizontal="center"/>
      <protection/>
    </xf>
    <xf numFmtId="1" fontId="25" fillId="0" borderId="0" xfId="48" applyNumberFormat="1" applyFont="1" applyFill="1" applyBorder="1" applyAlignment="1" applyProtection="1">
      <alignment horizontal="right"/>
      <protection/>
    </xf>
    <xf numFmtId="2" fontId="23" fillId="0" borderId="0" xfId="0" applyFont="1" applyFill="1" applyBorder="1" applyAlignment="1">
      <alignment horizontal="right"/>
    </xf>
    <xf numFmtId="4" fontId="24" fillId="0" borderId="0" xfId="0" applyNumberFormat="1" applyFont="1" applyFill="1" applyBorder="1" applyAlignment="1">
      <alignment horizontal="center"/>
    </xf>
    <xf numFmtId="2" fontId="22" fillId="42" borderId="0" xfId="0" applyFont="1" applyFill="1" applyBorder="1" applyAlignment="1">
      <alignment horizontal="right"/>
    </xf>
    <xf numFmtId="4" fontId="24" fillId="0" borderId="0" xfId="0" applyNumberFormat="1" applyFont="1" applyFill="1" applyBorder="1" applyAlignment="1">
      <alignment/>
    </xf>
    <xf numFmtId="2" fontId="21" fillId="0" borderId="0" xfId="0" applyFont="1" applyAlignment="1">
      <alignment horizontal="left"/>
    </xf>
    <xf numFmtId="2" fontId="27" fillId="0" borderId="0" xfId="0" applyFont="1" applyAlignment="1">
      <alignment/>
    </xf>
    <xf numFmtId="1" fontId="24" fillId="41" borderId="0" xfId="0" applyNumberFormat="1" applyFont="1" applyFill="1" applyBorder="1" applyAlignment="1">
      <alignment horizontal="center"/>
    </xf>
    <xf numFmtId="166" fontId="24" fillId="41" borderId="0" xfId="0" applyNumberFormat="1" applyFont="1" applyFill="1" applyBorder="1" applyAlignment="1">
      <alignment/>
    </xf>
    <xf numFmtId="1" fontId="24" fillId="0" borderId="0" xfId="0" applyNumberFormat="1" applyFont="1" applyFill="1" applyBorder="1" applyAlignment="1">
      <alignment/>
    </xf>
    <xf numFmtId="1" fontId="22" fillId="41" borderId="0" xfId="0" applyNumberFormat="1" applyFont="1" applyFill="1" applyBorder="1" applyAlignment="1">
      <alignment/>
    </xf>
    <xf numFmtId="0" fontId="22" fillId="0" borderId="18" xfId="0" applyNumberFormat="1" applyFont="1" applyBorder="1" applyAlignment="1">
      <alignment/>
    </xf>
    <xf numFmtId="3" fontId="22" fillId="0" borderId="18" xfId="0" applyNumberFormat="1" applyFont="1" applyBorder="1" applyAlignment="1">
      <alignment horizontal="center"/>
    </xf>
    <xf numFmtId="3" fontId="22" fillId="0" borderId="18" xfId="0" applyNumberFormat="1" applyFont="1" applyFill="1" applyBorder="1" applyAlignment="1">
      <alignment/>
    </xf>
    <xf numFmtId="3" fontId="22" fillId="0" borderId="18" xfId="0" applyNumberFormat="1" applyFont="1" applyBorder="1" applyAlignment="1">
      <alignment/>
    </xf>
    <xf numFmtId="3" fontId="22" fillId="41" borderId="0" xfId="0" applyNumberFormat="1" applyFont="1" applyFill="1" applyBorder="1" applyAlignment="1">
      <alignment/>
    </xf>
    <xf numFmtId="1" fontId="22" fillId="0" borderId="0" xfId="0" applyNumberFormat="1" applyFont="1" applyFill="1" applyBorder="1" applyAlignment="1">
      <alignment/>
    </xf>
    <xf numFmtId="0" fontId="22" fillId="40" borderId="18" xfId="0" applyNumberFormat="1" applyFont="1" applyFill="1" applyBorder="1" applyAlignment="1">
      <alignment horizontal="right"/>
    </xf>
    <xf numFmtId="3" fontId="22" fillId="40" borderId="18" xfId="0" applyNumberFormat="1" applyFont="1" applyFill="1" applyBorder="1" applyAlignment="1">
      <alignment horizontal="center" wrapText="1"/>
    </xf>
    <xf numFmtId="3" fontId="22" fillId="40" borderId="18" xfId="48" applyNumberFormat="1" applyFont="1" applyFill="1" applyBorder="1" applyAlignment="1" applyProtection="1">
      <alignment horizontal="center"/>
      <protection/>
    </xf>
    <xf numFmtId="3" fontId="22" fillId="0" borderId="18" xfId="48" applyNumberFormat="1" applyFont="1" applyFill="1" applyBorder="1" applyAlignment="1" applyProtection="1">
      <alignment horizontal="center"/>
      <protection/>
    </xf>
    <xf numFmtId="2" fontId="22" fillId="0" borderId="18" xfId="0" applyFont="1" applyBorder="1" applyAlignment="1">
      <alignment horizontal="right"/>
    </xf>
    <xf numFmtId="3" fontId="22"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22" fillId="41" borderId="0" xfId="0" applyNumberFormat="1" applyFont="1" applyFill="1" applyBorder="1" applyAlignment="1">
      <alignment horizontal="center"/>
    </xf>
    <xf numFmtId="3" fontId="23" fillId="41" borderId="0" xfId="0" applyNumberFormat="1" applyFont="1" applyFill="1" applyBorder="1" applyAlignment="1">
      <alignment horizontal="center"/>
    </xf>
    <xf numFmtId="1" fontId="23" fillId="42" borderId="0" xfId="0" applyNumberFormat="1" applyFont="1" applyFill="1" applyBorder="1" applyAlignment="1">
      <alignment horizontal="center"/>
    </xf>
    <xf numFmtId="3" fontId="22" fillId="42" borderId="0" xfId="0" applyNumberFormat="1" applyFont="1" applyFill="1" applyBorder="1" applyAlignment="1">
      <alignment horizontal="center"/>
    </xf>
    <xf numFmtId="3" fontId="22" fillId="42" borderId="0" xfId="0" applyNumberFormat="1" applyFont="1" applyFill="1" applyBorder="1" applyAlignment="1" applyProtection="1">
      <alignment/>
      <protection/>
    </xf>
    <xf numFmtId="3" fontId="22" fillId="42" borderId="0" xfId="0" applyNumberFormat="1" applyFont="1" applyFill="1" applyBorder="1" applyAlignment="1">
      <alignment/>
    </xf>
    <xf numFmtId="1" fontId="22" fillId="42" borderId="0" xfId="0" applyNumberFormat="1" applyFont="1" applyFill="1" applyBorder="1" applyAlignment="1">
      <alignment/>
    </xf>
    <xf numFmtId="3" fontId="22" fillId="40" borderId="18" xfId="0" applyNumberFormat="1" applyFont="1" applyFill="1" applyBorder="1" applyAlignment="1">
      <alignment/>
    </xf>
    <xf numFmtId="2" fontId="22" fillId="0" borderId="18" xfId="0" applyFont="1" applyFill="1" applyBorder="1" applyAlignment="1">
      <alignment/>
    </xf>
    <xf numFmtId="3" fontId="22" fillId="0" borderId="18" xfId="0" applyNumberFormat="1" applyFont="1" applyFill="1" applyBorder="1" applyAlignment="1">
      <alignment horizontal="center"/>
    </xf>
    <xf numFmtId="1" fontId="22" fillId="40" borderId="0" xfId="0" applyNumberFormat="1" applyFont="1" applyFill="1" applyBorder="1" applyAlignment="1">
      <alignment/>
    </xf>
    <xf numFmtId="2" fontId="22" fillId="40" borderId="0" xfId="0" applyFont="1" applyFill="1" applyBorder="1" applyAlignment="1">
      <alignment/>
    </xf>
    <xf numFmtId="3" fontId="22" fillId="40" borderId="0" xfId="0" applyNumberFormat="1" applyFont="1" applyFill="1" applyBorder="1" applyAlignment="1">
      <alignment horizontal="center"/>
    </xf>
    <xf numFmtId="3" fontId="22" fillId="40" borderId="0" xfId="0" applyNumberFormat="1" applyFont="1" applyFill="1" applyBorder="1" applyAlignment="1">
      <alignment/>
    </xf>
    <xf numFmtId="166" fontId="22" fillId="40" borderId="0" xfId="0" applyNumberFormat="1" applyFont="1" applyFill="1" applyBorder="1" applyAlignment="1">
      <alignment/>
    </xf>
    <xf numFmtId="166" fontId="23" fillId="0" borderId="0" xfId="0" applyNumberFormat="1" applyFont="1" applyFill="1" applyBorder="1" applyAlignment="1">
      <alignment horizontal="right"/>
    </xf>
    <xf numFmtId="3" fontId="23" fillId="0" borderId="26" xfId="0" applyNumberFormat="1" applyFont="1" applyFill="1" applyBorder="1" applyAlignment="1">
      <alignment/>
    </xf>
    <xf numFmtId="166" fontId="22" fillId="0" borderId="0" xfId="0" applyNumberFormat="1" applyFont="1" applyFill="1" applyBorder="1" applyAlignment="1">
      <alignment/>
    </xf>
    <xf numFmtId="166" fontId="22" fillId="44" borderId="0" xfId="0" applyNumberFormat="1" applyFont="1" applyFill="1" applyBorder="1" applyAlignment="1">
      <alignment/>
    </xf>
    <xf numFmtId="3" fontId="22" fillId="44" borderId="0" xfId="0" applyNumberFormat="1" applyFont="1" applyFill="1" applyBorder="1" applyAlignment="1">
      <alignment horizontal="center"/>
    </xf>
    <xf numFmtId="3" fontId="22" fillId="44" borderId="0" xfId="0" applyNumberFormat="1" applyFont="1" applyFill="1" applyBorder="1" applyAlignment="1">
      <alignment/>
    </xf>
    <xf numFmtId="3" fontId="23" fillId="0" borderId="26" xfId="0" applyNumberFormat="1" applyFont="1" applyFill="1" applyBorder="1" applyAlignment="1">
      <alignment horizontal="center"/>
    </xf>
    <xf numFmtId="1" fontId="20" fillId="44" borderId="0" xfId="0" applyNumberFormat="1" applyFont="1" applyFill="1" applyBorder="1" applyAlignment="1">
      <alignment/>
    </xf>
    <xf numFmtId="2" fontId="20" fillId="44" borderId="0" xfId="0" applyFont="1" applyFill="1" applyBorder="1" applyAlignment="1">
      <alignment/>
    </xf>
    <xf numFmtId="2" fontId="20" fillId="44" borderId="0" xfId="0" applyFont="1" applyFill="1" applyBorder="1" applyAlignment="1">
      <alignment horizontal="center"/>
    </xf>
    <xf numFmtId="1" fontId="20" fillId="44" borderId="0" xfId="0" applyNumberFormat="1" applyFont="1" applyFill="1" applyBorder="1" applyAlignment="1">
      <alignment horizontal="center"/>
    </xf>
    <xf numFmtId="0" fontId="20" fillId="44" borderId="0" xfId="0" applyNumberFormat="1" applyFont="1" applyFill="1" applyBorder="1" applyAlignment="1">
      <alignment/>
    </xf>
    <xf numFmtId="166" fontId="20" fillId="44" borderId="0" xfId="0" applyNumberFormat="1" applyFont="1" applyFill="1" applyBorder="1" applyAlignment="1">
      <alignment/>
    </xf>
    <xf numFmtId="2" fontId="27" fillId="0" borderId="0" xfId="0" applyFont="1" applyAlignment="1">
      <alignment horizontal="center"/>
    </xf>
    <xf numFmtId="4" fontId="27" fillId="0" borderId="0" xfId="0" applyNumberFormat="1" applyFont="1" applyAlignment="1">
      <alignment/>
    </xf>
    <xf numFmtId="2" fontId="20" fillId="36" borderId="0" xfId="0" applyFont="1" applyFill="1" applyAlignment="1">
      <alignment/>
    </xf>
    <xf numFmtId="2" fontId="20" fillId="36" borderId="0" xfId="0" applyFont="1" applyFill="1" applyAlignment="1">
      <alignment horizontal="center"/>
    </xf>
    <xf numFmtId="4" fontId="20" fillId="36" borderId="0" xfId="0" applyNumberFormat="1" applyFont="1" applyFill="1" applyAlignment="1">
      <alignment/>
    </xf>
    <xf numFmtId="2" fontId="20" fillId="0" borderId="0" xfId="0" applyFont="1" applyAlignment="1">
      <alignment/>
    </xf>
    <xf numFmtId="2" fontId="22" fillId="36" borderId="0" xfId="0" applyFont="1" applyFill="1" applyAlignment="1">
      <alignment/>
    </xf>
    <xf numFmtId="2" fontId="22" fillId="0" borderId="0" xfId="0" applyFont="1" applyAlignment="1">
      <alignment horizontal="center"/>
    </xf>
    <xf numFmtId="4" fontId="22" fillId="0" borderId="0" xfId="0" applyNumberFormat="1" applyFont="1" applyAlignment="1">
      <alignment/>
    </xf>
    <xf numFmtId="2" fontId="23" fillId="0" borderId="0" xfId="0" applyFont="1" applyAlignment="1">
      <alignment horizontal="center" vertical="center" wrapText="1"/>
    </xf>
    <xf numFmtId="0" fontId="23" fillId="0" borderId="0" xfId="0" applyNumberFormat="1" applyFont="1" applyFill="1" applyBorder="1" applyAlignment="1" applyProtection="1">
      <alignment horizontal="center" vertical="center" wrapText="1"/>
      <protection/>
    </xf>
    <xf numFmtId="4" fontId="23" fillId="0" borderId="0" xfId="0" applyNumberFormat="1" applyFont="1" applyFill="1" applyBorder="1" applyAlignment="1" applyProtection="1">
      <alignment horizontal="center" vertical="center" wrapText="1"/>
      <protection/>
    </xf>
    <xf numFmtId="2" fontId="22" fillId="0" borderId="0" xfId="0" applyFont="1" applyAlignment="1">
      <alignment horizontal="right"/>
    </xf>
    <xf numFmtId="1" fontId="22" fillId="0" borderId="0" xfId="0" applyNumberFormat="1" applyFont="1" applyAlignment="1">
      <alignment/>
    </xf>
    <xf numFmtId="1" fontId="26" fillId="40" borderId="3" xfId="48" applyNumberFormat="1" applyFont="1" applyFill="1" applyAlignment="1" applyProtection="1">
      <alignment horizontal="center"/>
      <protection/>
    </xf>
    <xf numFmtId="2" fontId="26" fillId="40" borderId="3" xfId="48" applyFont="1" applyFill="1" applyAlignment="1" applyProtection="1">
      <alignment horizontal="left"/>
      <protection/>
    </xf>
    <xf numFmtId="4" fontId="26" fillId="40" borderId="3" xfId="48" applyNumberFormat="1" applyFont="1" applyFill="1" applyAlignment="1" applyProtection="1">
      <alignment horizontal="right"/>
      <protection/>
    </xf>
    <xf numFmtId="10" fontId="26" fillId="40" borderId="3" xfId="48" applyNumberFormat="1" applyFont="1" applyFill="1" applyAlignment="1" applyProtection="1">
      <alignment horizontal="center"/>
      <protection/>
    </xf>
    <xf numFmtId="0" fontId="22"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protection/>
    </xf>
    <xf numFmtId="164" fontId="23" fillId="0" borderId="12" xfId="0" applyNumberFormat="1" applyFont="1" applyFill="1" applyBorder="1" applyAlignment="1" applyProtection="1">
      <alignment/>
      <protection/>
    </xf>
    <xf numFmtId="0" fontId="23" fillId="0" borderId="12" xfId="0" applyNumberFormat="1" applyFont="1" applyFill="1" applyBorder="1" applyAlignment="1" applyProtection="1">
      <alignment/>
      <protection/>
    </xf>
    <xf numFmtId="4" fontId="23" fillId="0" borderId="12" xfId="0" applyNumberFormat="1" applyFont="1" applyFill="1" applyBorder="1" applyAlignment="1" applyProtection="1">
      <alignment/>
      <protection/>
    </xf>
    <xf numFmtId="0" fontId="22" fillId="36" borderId="0" xfId="0" applyNumberFormat="1" applyFont="1" applyFill="1" applyBorder="1" applyAlignment="1" applyProtection="1">
      <alignment horizontal="center"/>
      <protection/>
    </xf>
    <xf numFmtId="0" fontId="22" fillId="36" borderId="0" xfId="0" applyNumberFormat="1" applyFont="1" applyFill="1" applyBorder="1" applyAlignment="1" applyProtection="1">
      <alignment/>
      <protection/>
    </xf>
    <xf numFmtId="4" fontId="22" fillId="36" borderId="0" xfId="0" applyNumberFormat="1" applyFont="1" applyFill="1" applyBorder="1" applyAlignment="1" applyProtection="1">
      <alignment/>
      <protection/>
    </xf>
    <xf numFmtId="4" fontId="22" fillId="36" borderId="0" xfId="0" applyNumberFormat="1" applyFont="1" applyFill="1" applyBorder="1" applyAlignment="1" applyProtection="1">
      <alignment horizontal="center"/>
      <protection/>
    </xf>
    <xf numFmtId="2" fontId="22" fillId="37" borderId="0" xfId="0" applyFont="1" applyFill="1" applyAlignment="1">
      <alignment/>
    </xf>
    <xf numFmtId="4" fontId="22" fillId="37" borderId="0" xfId="0" applyNumberFormat="1" applyFont="1" applyFill="1" applyAlignment="1">
      <alignment/>
    </xf>
    <xf numFmtId="0" fontId="22" fillId="0" borderId="0" xfId="0" applyNumberFormat="1" applyFont="1" applyAlignment="1">
      <alignment/>
    </xf>
    <xf numFmtId="10" fontId="22" fillId="0" borderId="0" xfId="0" applyNumberFormat="1" applyFont="1" applyAlignment="1">
      <alignment/>
    </xf>
    <xf numFmtId="0" fontId="26" fillId="40" borderId="3" xfId="48" applyNumberFormat="1" applyFont="1" applyFill="1" applyAlignment="1" applyProtection="1">
      <alignment horizontal="center" vertical="center"/>
      <protection/>
    </xf>
    <xf numFmtId="0" fontId="22" fillId="0" borderId="0" xfId="0" applyNumberFormat="1" applyFont="1" applyAlignment="1">
      <alignment horizontal="center"/>
    </xf>
    <xf numFmtId="4" fontId="26" fillId="40" borderId="3" xfId="48" applyNumberFormat="1" applyFont="1" applyFill="1" applyAlignment="1" applyProtection="1">
      <alignment horizontal="right" vertical="center"/>
      <protection/>
    </xf>
    <xf numFmtId="165" fontId="26" fillId="40" borderId="3" xfId="48" applyNumberFormat="1" applyFont="1" applyFill="1" applyAlignment="1" applyProtection="1">
      <alignment horizontal="center"/>
      <protection/>
    </xf>
    <xf numFmtId="4" fontId="22" fillId="0" borderId="0" xfId="0" applyNumberFormat="1" applyFont="1" applyFill="1" applyBorder="1" applyAlignment="1" applyProtection="1">
      <alignment/>
      <protection/>
    </xf>
    <xf numFmtId="166" fontId="22" fillId="0" borderId="0" xfId="0" applyNumberFormat="1" applyFont="1" applyAlignment="1">
      <alignment/>
    </xf>
    <xf numFmtId="2" fontId="22" fillId="0" borderId="0" xfId="0" applyFont="1" applyAlignment="1">
      <alignment horizontal="center" vertical="center"/>
    </xf>
    <xf numFmtId="4" fontId="23" fillId="0" borderId="11" xfId="0" applyNumberFormat="1" applyFont="1" applyFill="1" applyBorder="1" applyAlignment="1" applyProtection="1">
      <alignment horizontal="right"/>
      <protection/>
    </xf>
    <xf numFmtId="165" fontId="23" fillId="0" borderId="0" xfId="0" applyNumberFormat="1" applyFont="1" applyAlignment="1">
      <alignment horizontal="center"/>
    </xf>
    <xf numFmtId="4" fontId="23" fillId="0" borderId="11" xfId="0" applyNumberFormat="1" applyFont="1" applyFill="1" applyBorder="1" applyAlignment="1" applyProtection="1">
      <alignment/>
      <protection/>
    </xf>
    <xf numFmtId="165" fontId="23" fillId="0" borderId="0" xfId="0" applyNumberFormat="1" applyFont="1" applyAlignment="1">
      <alignment/>
    </xf>
    <xf numFmtId="4" fontId="23" fillId="0" borderId="12" xfId="0" applyNumberFormat="1" applyFont="1" applyFill="1" applyBorder="1" applyAlignment="1" applyProtection="1">
      <alignment horizontal="right"/>
      <protection/>
    </xf>
    <xf numFmtId="2" fontId="23" fillId="0" borderId="12" xfId="0" applyFont="1" applyBorder="1" applyAlignment="1">
      <alignment/>
    </xf>
    <xf numFmtId="2" fontId="22" fillId="37" borderId="0" xfId="0" applyFont="1" applyFill="1" applyAlignment="1">
      <alignment horizontal="center"/>
    </xf>
    <xf numFmtId="2" fontId="22" fillId="30" borderId="0" xfId="0" applyFont="1" applyFill="1" applyAlignment="1">
      <alignment/>
    </xf>
    <xf numFmtId="4" fontId="22" fillId="30" borderId="0" xfId="0" applyNumberFormat="1" applyFont="1" applyFill="1" applyAlignment="1">
      <alignment/>
    </xf>
    <xf numFmtId="0" fontId="23" fillId="0" borderId="0" xfId="0" applyNumberFormat="1" applyFont="1" applyFill="1" applyBorder="1" applyAlignment="1" applyProtection="1">
      <alignment horizontal="center" vertical="center" wrapText="1"/>
      <protection locked="0"/>
    </xf>
    <xf numFmtId="4" fontId="23" fillId="0" borderId="0" xfId="0" applyNumberFormat="1" applyFont="1" applyFill="1" applyBorder="1" applyAlignment="1" applyProtection="1">
      <alignment horizontal="center" vertical="center" wrapText="1"/>
      <protection locked="0"/>
    </xf>
    <xf numFmtId="4" fontId="22" fillId="0" borderId="0" xfId="0" applyNumberFormat="1" applyFont="1" applyFill="1" applyBorder="1" applyAlignment="1" applyProtection="1">
      <alignment/>
      <protection locked="0"/>
    </xf>
    <xf numFmtId="1" fontId="22" fillId="0" borderId="0" xfId="0" applyNumberFormat="1" applyFont="1" applyFill="1" applyBorder="1" applyAlignment="1" applyProtection="1">
      <alignment horizontal="center" wrapText="1"/>
      <protection locked="0"/>
    </xf>
    <xf numFmtId="4" fontId="26" fillId="0" borderId="0" xfId="48" applyNumberFormat="1" applyFont="1" applyFill="1" applyBorder="1" applyAlignment="1" applyProtection="1">
      <alignment/>
      <protection locked="0"/>
    </xf>
    <xf numFmtId="168" fontId="26" fillId="40" borderId="27" xfId="48" applyNumberFormat="1" applyFont="1" applyFill="1" applyBorder="1" applyAlignment="1" applyProtection="1">
      <alignment/>
      <protection locked="0"/>
    </xf>
    <xf numFmtId="165" fontId="26" fillId="40" borderId="27" xfId="48"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right"/>
      <protection locked="0"/>
    </xf>
    <xf numFmtId="168" fontId="23" fillId="0" borderId="11" xfId="0" applyNumberFormat="1" applyFont="1" applyFill="1" applyBorder="1" applyAlignment="1" applyProtection="1">
      <alignment/>
      <protection locked="0"/>
    </xf>
    <xf numFmtId="165" fontId="23" fillId="0" borderId="11" xfId="0" applyNumberFormat="1" applyFont="1" applyBorder="1" applyAlignment="1">
      <alignment horizontal="center"/>
    </xf>
    <xf numFmtId="4" fontId="23" fillId="0" borderId="11" xfId="0" applyNumberFormat="1" applyFont="1" applyFill="1" applyBorder="1" applyAlignment="1" applyProtection="1">
      <alignment/>
      <protection locked="0"/>
    </xf>
    <xf numFmtId="1" fontId="22" fillId="0" borderId="0" xfId="0" applyNumberFormat="1" applyFont="1" applyFill="1" applyBorder="1" applyAlignment="1" applyProtection="1">
      <alignment horizontal="center"/>
      <protection locked="0"/>
    </xf>
    <xf numFmtId="4" fontId="22" fillId="0" borderId="0" xfId="0" applyNumberFormat="1" applyFont="1" applyFill="1" applyBorder="1" applyAlignment="1" applyProtection="1">
      <alignment horizontal="center"/>
      <protection locked="0"/>
    </xf>
    <xf numFmtId="4" fontId="23" fillId="0" borderId="28" xfId="0" applyNumberFormat="1" applyFont="1" applyFill="1" applyBorder="1" applyAlignment="1" applyProtection="1">
      <alignment/>
      <protection locked="0"/>
    </xf>
    <xf numFmtId="165" fontId="23" fillId="0" borderId="11" xfId="0" applyNumberFormat="1" applyFont="1" applyBorder="1" applyAlignment="1">
      <alignment/>
    </xf>
    <xf numFmtId="4" fontId="23" fillId="0" borderId="29" xfId="0" applyNumberFormat="1" applyFont="1" applyFill="1" applyBorder="1" applyAlignment="1" applyProtection="1">
      <alignment/>
      <protection locked="0"/>
    </xf>
    <xf numFmtId="4" fontId="23" fillId="0" borderId="0" xfId="0" applyNumberFormat="1" applyFont="1" applyFill="1" applyBorder="1" applyAlignment="1" applyProtection="1">
      <alignment horizontal="center"/>
      <protection locked="0"/>
    </xf>
    <xf numFmtId="168" fontId="23" fillId="0" borderId="12" xfId="0" applyNumberFormat="1" applyFont="1" applyFill="1" applyBorder="1" applyAlignment="1" applyProtection="1">
      <alignment/>
      <protection locked="0"/>
    </xf>
    <xf numFmtId="166" fontId="23" fillId="0" borderId="12" xfId="0" applyNumberFormat="1" applyFont="1" applyBorder="1" applyAlignment="1">
      <alignment/>
    </xf>
    <xf numFmtId="4" fontId="23" fillId="0" borderId="12" xfId="0" applyNumberFormat="1" applyFont="1" applyFill="1" applyBorder="1" applyAlignment="1" applyProtection="1">
      <alignment/>
      <protection locked="0"/>
    </xf>
    <xf numFmtId="4" fontId="23" fillId="0" borderId="12" xfId="0" applyNumberFormat="1" applyFont="1" applyBorder="1" applyAlignment="1">
      <alignment/>
    </xf>
    <xf numFmtId="2" fontId="22" fillId="30" borderId="0" xfId="0" applyFont="1" applyFill="1" applyAlignment="1">
      <alignment horizontal="center"/>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wrapText="1"/>
      <protection/>
    </xf>
    <xf numFmtId="2" fontId="27" fillId="0" borderId="0" xfId="0" applyNumberFormat="1" applyFont="1" applyFill="1" applyBorder="1" applyAlignment="1" applyProtection="1">
      <alignment horizontal="left" wrapText="1"/>
      <protection/>
    </xf>
    <xf numFmtId="2" fontId="21" fillId="0" borderId="0" xfId="0" applyNumberFormat="1" applyFont="1" applyFill="1" applyBorder="1" applyAlignment="1" applyProtection="1">
      <alignment horizontal="left" wrapText="1"/>
      <protection/>
    </xf>
    <xf numFmtId="165" fontId="26" fillId="40" borderId="27" xfId="48" applyNumberFormat="1" applyFont="1" applyFill="1" applyBorder="1" applyAlignment="1" applyProtection="1">
      <alignment horizontal="center"/>
      <protection/>
    </xf>
    <xf numFmtId="0" fontId="23"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2" fontId="23" fillId="0" borderId="0" xfId="0" applyFont="1" applyFill="1" applyAlignment="1">
      <alignment/>
    </xf>
    <xf numFmtId="10" fontId="22" fillId="0" borderId="0" xfId="0" applyNumberFormat="1" applyFont="1" applyFill="1" applyBorder="1" applyAlignment="1" applyProtection="1">
      <alignment/>
      <protection/>
    </xf>
    <xf numFmtId="10" fontId="22" fillId="0" borderId="18" xfId="0" applyNumberFormat="1" applyFont="1" applyFill="1" applyBorder="1" applyAlignment="1" applyProtection="1">
      <alignment/>
      <protection/>
    </xf>
    <xf numFmtId="10" fontId="26" fillId="0" borderId="18" xfId="48" applyNumberFormat="1" applyFont="1" applyFill="1" applyBorder="1" applyAlignment="1" applyProtection="1">
      <alignment/>
      <protection/>
    </xf>
    <xf numFmtId="10" fontId="26" fillId="40" borderId="18" xfId="48" applyNumberFormat="1" applyFont="1" applyFill="1" applyBorder="1" applyAlignment="1" applyProtection="1">
      <alignment/>
      <protection/>
    </xf>
    <xf numFmtId="10" fontId="26" fillId="0" borderId="0" xfId="48" applyNumberFormat="1" applyFont="1" applyFill="1" applyBorder="1" applyAlignment="1" applyProtection="1">
      <alignment/>
      <protection/>
    </xf>
    <xf numFmtId="10" fontId="22" fillId="0" borderId="15" xfId="0" applyNumberFormat="1" applyFont="1" applyFill="1" applyBorder="1" applyAlignment="1" applyProtection="1">
      <alignment/>
      <protection/>
    </xf>
    <xf numFmtId="10" fontId="22" fillId="0" borderId="18" xfId="48" applyNumberFormat="1" applyFont="1" applyFill="1" applyBorder="1" applyAlignment="1" applyProtection="1">
      <alignment/>
      <protection/>
    </xf>
    <xf numFmtId="10" fontId="22" fillId="0" borderId="18" xfId="0" applyNumberFormat="1" applyFont="1" applyBorder="1" applyAlignment="1">
      <alignment/>
    </xf>
    <xf numFmtId="10" fontId="22" fillId="0" borderId="0" xfId="0" applyNumberFormat="1" applyFont="1" applyFill="1" applyBorder="1" applyAlignment="1">
      <alignment/>
    </xf>
    <xf numFmtId="0" fontId="22" fillId="0" borderId="18" xfId="0" applyNumberFormat="1" applyFont="1" applyFill="1" applyBorder="1" applyAlignment="1" applyProtection="1">
      <alignment/>
      <protection/>
    </xf>
    <xf numFmtId="0" fontId="26" fillId="40" borderId="18" xfId="48" applyNumberFormat="1" applyFont="1" applyFill="1" applyBorder="1" applyAlignment="1" applyProtection="1">
      <alignment/>
      <protection/>
    </xf>
    <xf numFmtId="0" fontId="26" fillId="0" borderId="0" xfId="48" applyNumberFormat="1" applyFont="1" applyFill="1" applyBorder="1" applyAlignment="1" applyProtection="1">
      <alignment/>
      <protection/>
    </xf>
    <xf numFmtId="0" fontId="23" fillId="0" borderId="0" xfId="0" applyNumberFormat="1" applyFont="1" applyAlignment="1">
      <alignment horizontal="center"/>
    </xf>
    <xf numFmtId="0" fontId="23" fillId="0" borderId="0" xfId="0" applyNumberFormat="1" applyFont="1" applyBorder="1" applyAlignment="1">
      <alignment/>
    </xf>
    <xf numFmtId="0" fontId="23" fillId="0" borderId="0" xfId="0" applyNumberFormat="1" applyFont="1" applyFill="1" applyBorder="1" applyAlignment="1">
      <alignment/>
    </xf>
    <xf numFmtId="2" fontId="23" fillId="41" borderId="0" xfId="0" applyFont="1" applyFill="1" applyAlignment="1">
      <alignment horizontal="center"/>
    </xf>
    <xf numFmtId="0" fontId="23" fillId="0" borderId="0" xfId="0" applyNumberFormat="1" applyFont="1" applyBorder="1" applyAlignment="1">
      <alignment horizontal="center"/>
    </xf>
    <xf numFmtId="3" fontId="22" fillId="0" borderId="0" xfId="0" applyNumberFormat="1" applyFont="1" applyFill="1" applyBorder="1" applyAlignment="1">
      <alignment/>
    </xf>
    <xf numFmtId="3" fontId="22" fillId="0" borderId="18" xfId="0" applyNumberFormat="1" applyFont="1" applyBorder="1" applyAlignment="1">
      <alignment horizontal="right"/>
    </xf>
    <xf numFmtId="3" fontId="26" fillId="40" borderId="18" xfId="48" applyNumberFormat="1" applyFont="1" applyFill="1" applyBorder="1" applyAlignment="1" applyProtection="1">
      <alignment/>
      <protection/>
    </xf>
    <xf numFmtId="3" fontId="26" fillId="40" borderId="30" xfId="48" applyNumberFormat="1" applyFont="1" applyFill="1" applyBorder="1" applyAlignment="1" applyProtection="1">
      <alignment/>
      <protection/>
    </xf>
    <xf numFmtId="3" fontId="26" fillId="0" borderId="0" xfId="48" applyNumberFormat="1" applyFont="1" applyFill="1" applyBorder="1" applyAlignment="1" applyProtection="1">
      <alignment/>
      <protection/>
    </xf>
    <xf numFmtId="0" fontId="22" fillId="0" borderId="30" xfId="0" applyNumberFormat="1" applyFont="1" applyBorder="1" applyAlignment="1">
      <alignment/>
    </xf>
    <xf numFmtId="0" fontId="23" fillId="0" borderId="0" xfId="0" applyNumberFormat="1" applyFont="1" applyFill="1" applyBorder="1" applyAlignment="1">
      <alignment horizontal="right"/>
    </xf>
    <xf numFmtId="3" fontId="23" fillId="0" borderId="31" xfId="0" applyNumberFormat="1" applyFont="1" applyFill="1" applyBorder="1" applyAlignment="1">
      <alignment/>
    </xf>
    <xf numFmtId="3" fontId="23" fillId="0" borderId="18" xfId="0" applyNumberFormat="1" applyFont="1" applyFill="1" applyBorder="1" applyAlignment="1">
      <alignment/>
    </xf>
    <xf numFmtId="0" fontId="22" fillId="41" borderId="0" xfId="0" applyNumberFormat="1" applyFont="1" applyFill="1" applyBorder="1" applyAlignment="1">
      <alignment horizontal="right"/>
    </xf>
    <xf numFmtId="0" fontId="23" fillId="42" borderId="0" xfId="0" applyNumberFormat="1" applyFont="1" applyFill="1" applyBorder="1" applyAlignment="1">
      <alignment horizontal="center"/>
    </xf>
    <xf numFmtId="3" fontId="22" fillId="0" borderId="30" xfId="0" applyNumberFormat="1" applyFont="1" applyBorder="1" applyAlignment="1">
      <alignment horizontal="right"/>
    </xf>
    <xf numFmtId="3" fontId="22" fillId="0" borderId="0" xfId="0" applyNumberFormat="1" applyFont="1" applyFill="1" applyBorder="1" applyAlignment="1">
      <alignment horizontal="right"/>
    </xf>
    <xf numFmtId="3" fontId="22" fillId="0" borderId="24" xfId="0" applyNumberFormat="1" applyFont="1" applyBorder="1" applyAlignment="1">
      <alignment horizontal="right"/>
    </xf>
    <xf numFmtId="3" fontId="26" fillId="40" borderId="20" xfId="48" applyNumberFormat="1" applyFont="1" applyFill="1" applyBorder="1" applyAlignment="1" applyProtection="1">
      <alignment/>
      <protection/>
    </xf>
    <xf numFmtId="3" fontId="26" fillId="40" borderId="32" xfId="48" applyNumberFormat="1" applyFont="1" applyFill="1" applyBorder="1" applyAlignment="1" applyProtection="1">
      <alignment/>
      <protection/>
    </xf>
    <xf numFmtId="3" fontId="22" fillId="0" borderId="33" xfId="0" applyNumberFormat="1" applyFont="1" applyBorder="1" applyAlignment="1">
      <alignment/>
    </xf>
    <xf numFmtId="3" fontId="22" fillId="0" borderId="34" xfId="0" applyNumberFormat="1" applyFont="1" applyBorder="1" applyAlignment="1">
      <alignment/>
    </xf>
    <xf numFmtId="3" fontId="22" fillId="0" borderId="11" xfId="0" applyNumberFormat="1" applyFont="1" applyBorder="1" applyAlignment="1">
      <alignment/>
    </xf>
    <xf numFmtId="3" fontId="22" fillId="0" borderId="16" xfId="0" applyNumberFormat="1" applyFont="1" applyBorder="1" applyAlignment="1">
      <alignment/>
    </xf>
    <xf numFmtId="3" fontId="22" fillId="0" borderId="35" xfId="0" applyNumberFormat="1" applyFont="1" applyBorder="1" applyAlignment="1">
      <alignment/>
    </xf>
    <xf numFmtId="3" fontId="22" fillId="0" borderId="36" xfId="0" applyNumberFormat="1" applyFont="1" applyBorder="1" applyAlignment="1">
      <alignment/>
    </xf>
    <xf numFmtId="2" fontId="22" fillId="0" borderId="0" xfId="0" applyFont="1" applyBorder="1" applyAlignment="1">
      <alignment wrapText="1"/>
    </xf>
    <xf numFmtId="3" fontId="22" fillId="0" borderId="0" xfId="0" applyNumberFormat="1" applyFont="1" applyBorder="1" applyAlignment="1">
      <alignment/>
    </xf>
    <xf numFmtId="0" fontId="22" fillId="0" borderId="18" xfId="0" applyNumberFormat="1" applyFont="1" applyFill="1" applyBorder="1" applyAlignment="1">
      <alignment wrapText="1"/>
    </xf>
    <xf numFmtId="3" fontId="22" fillId="0" borderId="30" xfId="0" applyNumberFormat="1" applyFont="1" applyBorder="1" applyAlignment="1">
      <alignment/>
    </xf>
    <xf numFmtId="0" fontId="22" fillId="0" borderId="18" xfId="0" applyNumberFormat="1" applyFont="1" applyFill="1" applyBorder="1" applyAlignment="1">
      <alignment horizontal="right" wrapText="1"/>
    </xf>
    <xf numFmtId="0" fontId="22" fillId="42" borderId="0" xfId="0" applyNumberFormat="1" applyFont="1" applyFill="1" applyBorder="1" applyAlignment="1">
      <alignment horizontal="right"/>
    </xf>
    <xf numFmtId="0" fontId="23" fillId="43" borderId="0" xfId="0" applyNumberFormat="1" applyFont="1" applyFill="1" applyBorder="1" applyAlignment="1">
      <alignment/>
    </xf>
    <xf numFmtId="3" fontId="23" fillId="0" borderId="13" xfId="0" applyNumberFormat="1" applyFont="1" applyFill="1" applyBorder="1" applyAlignment="1">
      <alignment/>
    </xf>
    <xf numFmtId="3" fontId="23" fillId="0" borderId="13" xfId="0" applyNumberFormat="1" applyFont="1" applyFill="1" applyBorder="1" applyAlignment="1">
      <alignment horizontal="right"/>
    </xf>
    <xf numFmtId="3" fontId="22" fillId="43" borderId="0" xfId="0" applyNumberFormat="1" applyFont="1" applyFill="1" applyBorder="1" applyAlignment="1">
      <alignment/>
    </xf>
    <xf numFmtId="0" fontId="22" fillId="40" borderId="0" xfId="0" applyNumberFormat="1" applyFont="1" applyFill="1" applyBorder="1" applyAlignment="1">
      <alignment/>
    </xf>
    <xf numFmtId="0" fontId="23" fillId="40" borderId="0" xfId="0" applyNumberFormat="1" applyFont="1" applyFill="1" applyBorder="1" applyAlignment="1">
      <alignment/>
    </xf>
    <xf numFmtId="0" fontId="28" fillId="40" borderId="0" xfId="0" applyNumberFormat="1" applyFont="1" applyFill="1" applyBorder="1" applyAlignment="1">
      <alignment/>
    </xf>
    <xf numFmtId="0" fontId="28" fillId="40" borderId="0" xfId="0" applyNumberFormat="1" applyFont="1" applyFill="1" applyBorder="1" applyAlignment="1">
      <alignment horizontal="right"/>
    </xf>
    <xf numFmtId="3" fontId="28" fillId="40" borderId="0" xfId="0" applyNumberFormat="1" applyFont="1" applyFill="1" applyBorder="1" applyAlignment="1">
      <alignment/>
    </xf>
    <xf numFmtId="3" fontId="28" fillId="0" borderId="0" xfId="0" applyNumberFormat="1" applyFont="1" applyFill="1" applyBorder="1" applyAlignment="1">
      <alignment/>
    </xf>
    <xf numFmtId="0" fontId="28" fillId="0" borderId="0" xfId="0" applyNumberFormat="1" applyFont="1" applyFill="1" applyBorder="1" applyAlignment="1">
      <alignment/>
    </xf>
    <xf numFmtId="0" fontId="22" fillId="0" borderId="15" xfId="0" applyNumberFormat="1" applyFont="1" applyBorder="1" applyAlignment="1">
      <alignment/>
    </xf>
    <xf numFmtId="3" fontId="22" fillId="0" borderId="15" xfId="0" applyNumberFormat="1" applyFont="1" applyBorder="1" applyAlignment="1">
      <alignment/>
    </xf>
    <xf numFmtId="3" fontId="22" fillId="0" borderId="23" xfId="0" applyNumberFormat="1" applyFont="1" applyBorder="1" applyAlignment="1">
      <alignment/>
    </xf>
    <xf numFmtId="3" fontId="22" fillId="0" borderId="17" xfId="0" applyNumberFormat="1" applyFont="1" applyBorder="1" applyAlignment="1">
      <alignment/>
    </xf>
    <xf numFmtId="2" fontId="17" fillId="0" borderId="0" xfId="0" applyFont="1" applyAlignment="1">
      <alignment/>
    </xf>
    <xf numFmtId="2" fontId="30" fillId="0" borderId="0" xfId="0" applyFont="1" applyAlignment="1">
      <alignment/>
    </xf>
    <xf numFmtId="2" fontId="31" fillId="31" borderId="0" xfId="49" applyNumberFormat="1" applyFont="1" applyBorder="1" applyAlignment="1" applyProtection="1">
      <alignment/>
      <protection/>
    </xf>
    <xf numFmtId="2" fontId="32" fillId="29" borderId="0" xfId="47" applyNumberFormat="1" applyFont="1" applyBorder="1" applyAlignment="1" applyProtection="1">
      <alignment/>
      <protection/>
    </xf>
    <xf numFmtId="0" fontId="0" fillId="0" borderId="0" xfId="0" applyNumberFormat="1" applyFont="1" applyAlignment="1">
      <alignment/>
    </xf>
    <xf numFmtId="0" fontId="0" fillId="0" borderId="0" xfId="0" applyNumberFormat="1" applyAlignment="1">
      <alignment/>
    </xf>
    <xf numFmtId="10" fontId="0" fillId="0" borderId="0" xfId="0" applyNumberFormat="1" applyAlignment="1">
      <alignment/>
    </xf>
    <xf numFmtId="166" fontId="0" fillId="0" borderId="0" xfId="0" applyNumberFormat="1" applyAlignment="1">
      <alignment/>
    </xf>
    <xf numFmtId="2" fontId="1" fillId="30" borderId="3" xfId="58" applyAlignment="1">
      <alignment horizontal="right"/>
      <protection locked="0"/>
    </xf>
    <xf numFmtId="2" fontId="2" fillId="0" borderId="0" xfId="0" applyFont="1" applyBorder="1" applyAlignment="1" applyProtection="1">
      <alignment horizontal="left"/>
      <protection/>
    </xf>
    <xf numFmtId="1" fontId="11" fillId="29" borderId="15" xfId="0" applyNumberFormat="1" applyFont="1" applyFill="1" applyBorder="1" applyAlignment="1" applyProtection="1">
      <alignment horizontal="center" wrapText="1"/>
      <protection/>
    </xf>
    <xf numFmtId="1" fontId="11" fillId="29" borderId="15"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wrapText="1"/>
      <protection/>
    </xf>
    <xf numFmtId="0" fontId="11" fillId="0" borderId="34" xfId="0" applyNumberFormat="1" applyFont="1" applyFill="1" applyBorder="1" applyAlignment="1" applyProtection="1">
      <alignment horizontal="right" textRotation="90" wrapText="1"/>
      <protection/>
    </xf>
    <xf numFmtId="0" fontId="11" fillId="0" borderId="23" xfId="0" applyNumberFormat="1" applyFont="1" applyBorder="1" applyAlignment="1" applyProtection="1">
      <alignment textRotation="90" wrapText="1"/>
      <protection/>
    </xf>
    <xf numFmtId="2" fontId="11" fillId="0" borderId="24" xfId="0" applyFont="1" applyBorder="1" applyAlignment="1" applyProtection="1">
      <alignment textRotation="90" wrapText="1"/>
      <protection/>
    </xf>
    <xf numFmtId="0" fontId="0" fillId="0" borderId="23" xfId="0" applyNumberFormat="1" applyFont="1" applyBorder="1" applyAlignment="1" applyProtection="1">
      <alignment horizontal="right" vertical="center" wrapText="1"/>
      <protection/>
    </xf>
    <xf numFmtId="0" fontId="11" fillId="0" borderId="34" xfId="0" applyNumberFormat="1" applyFont="1" applyBorder="1" applyAlignment="1" applyProtection="1">
      <alignment horizontal="right" textRotation="90" wrapText="1"/>
      <protection/>
    </xf>
    <xf numFmtId="0" fontId="11" fillId="0" borderId="25" xfId="0" applyNumberFormat="1" applyFont="1" applyBorder="1" applyAlignment="1" applyProtection="1">
      <alignment horizontal="right" textRotation="90" wrapText="1"/>
      <protection/>
    </xf>
    <xf numFmtId="2" fontId="23" fillId="0" borderId="0" xfId="0" applyFont="1" applyBorder="1" applyAlignment="1">
      <alignment horizontal="left"/>
    </xf>
    <xf numFmtId="4" fontId="23" fillId="0" borderId="0" xfId="0" applyNumberFormat="1" applyFont="1" applyBorder="1" applyAlignment="1">
      <alignment horizontal="center"/>
    </xf>
    <xf numFmtId="2" fontId="22" fillId="0" borderId="18" xfId="0" applyFont="1" applyBorder="1" applyAlignment="1">
      <alignment horizontal="left"/>
    </xf>
    <xf numFmtId="4" fontId="22" fillId="0" borderId="18" xfId="0" applyNumberFormat="1" applyFont="1" applyBorder="1" applyAlignment="1">
      <alignment horizontal="right"/>
    </xf>
    <xf numFmtId="4" fontId="22" fillId="0" borderId="18" xfId="0" applyNumberFormat="1" applyFont="1" applyBorder="1" applyAlignment="1">
      <alignment horizontal="left"/>
    </xf>
    <xf numFmtId="1" fontId="23" fillId="0" borderId="0" xfId="0" applyNumberFormat="1" applyFont="1" applyBorder="1" applyAlignment="1">
      <alignment horizontal="right"/>
    </xf>
    <xf numFmtId="4" fontId="23" fillId="0" borderId="0" xfId="0" applyNumberFormat="1" applyFont="1" applyBorder="1" applyAlignment="1">
      <alignment horizontal="right"/>
    </xf>
    <xf numFmtId="1" fontId="22" fillId="42" borderId="0" xfId="0" applyNumberFormat="1" applyFont="1" applyFill="1" applyBorder="1" applyAlignment="1">
      <alignment horizontal="center"/>
    </xf>
    <xf numFmtId="4" fontId="22" fillId="42" borderId="0" xfId="0" applyNumberFormat="1" applyFont="1" applyFill="1" applyBorder="1" applyAlignment="1">
      <alignment horizontal="right"/>
    </xf>
    <xf numFmtId="1" fontId="22" fillId="0" borderId="0" xfId="0" applyNumberFormat="1" applyFont="1" applyBorder="1" applyAlignment="1">
      <alignment horizontal="center"/>
    </xf>
    <xf numFmtId="2" fontId="22" fillId="0" borderId="18" xfId="0" applyFont="1" applyBorder="1" applyAlignment="1">
      <alignment/>
    </xf>
    <xf numFmtId="1" fontId="22" fillId="0" borderId="18" xfId="0" applyNumberFormat="1" applyFont="1" applyBorder="1" applyAlignment="1">
      <alignment horizontal="center"/>
    </xf>
    <xf numFmtId="10" fontId="22" fillId="0" borderId="18" xfId="0" applyNumberFormat="1" applyFont="1" applyBorder="1" applyAlignment="1">
      <alignment horizontal="center"/>
    </xf>
    <xf numFmtId="4" fontId="22" fillId="0" borderId="0" xfId="0" applyNumberFormat="1" applyFont="1" applyBorder="1" applyAlignment="1">
      <alignment horizontal="right"/>
    </xf>
    <xf numFmtId="4" fontId="23" fillId="0" borderId="28" xfId="0" applyNumberFormat="1" applyFont="1" applyBorder="1" applyAlignment="1">
      <alignment horizontal="right"/>
    </xf>
    <xf numFmtId="167" fontId="23" fillId="0" borderId="26" xfId="0" applyNumberFormat="1" applyFont="1" applyBorder="1" applyAlignment="1">
      <alignment horizontal="right"/>
    </xf>
    <xf numFmtId="2" fontId="23" fillId="0" borderId="0" xfId="0" applyFont="1" applyBorder="1" applyAlignment="1">
      <alignment horizontal="center"/>
    </xf>
    <xf numFmtId="2" fontId="23" fillId="0" borderId="0" xfId="0" applyFont="1" applyFill="1" applyBorder="1" applyAlignment="1">
      <alignment horizontal="center"/>
    </xf>
    <xf numFmtId="164" fontId="26" fillId="0" borderId="18" xfId="48" applyNumberFormat="1" applyFont="1" applyFill="1" applyBorder="1" applyAlignment="1" applyProtection="1">
      <alignment horizontal="center"/>
      <protection/>
    </xf>
    <xf numFmtId="1" fontId="22" fillId="0" borderId="18" xfId="0" applyNumberFormat="1" applyFont="1" applyFill="1" applyBorder="1" applyAlignment="1">
      <alignment horizontal="center"/>
    </xf>
    <xf numFmtId="2" fontId="22" fillId="0" borderId="18" xfId="0" applyFont="1" applyFill="1" applyBorder="1" applyAlignment="1">
      <alignment horizontal="right"/>
    </xf>
    <xf numFmtId="2" fontId="23" fillId="0" borderId="0" xfId="0" applyFont="1" applyBorder="1" applyAlignment="1">
      <alignment horizontal="right"/>
    </xf>
    <xf numFmtId="2" fontId="22" fillId="0" borderId="0" xfId="0" applyFont="1" applyFill="1" applyBorder="1" applyAlignment="1">
      <alignment horizontal="right"/>
    </xf>
    <xf numFmtId="2" fontId="23" fillId="0" borderId="28" xfId="0" applyFont="1" applyFill="1" applyBorder="1" applyAlignment="1">
      <alignment horizontal="right"/>
    </xf>
    <xf numFmtId="2" fontId="22" fillId="0" borderId="0" xfId="0" applyFont="1" applyFill="1" applyBorder="1" applyAlignment="1">
      <alignment horizontal="center"/>
    </xf>
    <xf numFmtId="1" fontId="23" fillId="0" borderId="0" xfId="0" applyNumberFormat="1" applyFont="1" applyBorder="1" applyAlignment="1">
      <alignment horizontal="center"/>
    </xf>
    <xf numFmtId="165" fontId="22" fillId="0" borderId="18" xfId="0" applyNumberFormat="1" applyFont="1" applyFill="1" applyBorder="1" applyAlignment="1">
      <alignment horizontal="center"/>
    </xf>
    <xf numFmtId="4" fontId="22" fillId="0" borderId="18" xfId="0" applyNumberFormat="1" applyFont="1" applyFill="1" applyBorder="1" applyAlignment="1">
      <alignment horizontal="right"/>
    </xf>
    <xf numFmtId="2" fontId="22" fillId="0" borderId="18" xfId="0" applyFont="1" applyFill="1" applyBorder="1" applyAlignment="1">
      <alignment horizontal="center"/>
    </xf>
    <xf numFmtId="2" fontId="23" fillId="0" borderId="0" xfId="0" applyFont="1" applyFill="1" applyBorder="1" applyAlignment="1">
      <alignment horizontal="right"/>
    </xf>
    <xf numFmtId="2" fontId="23" fillId="43" borderId="0" xfId="0" applyFont="1" applyFill="1" applyBorder="1" applyAlignment="1">
      <alignment horizontal="center"/>
    </xf>
    <xf numFmtId="1" fontId="23" fillId="43" borderId="0" xfId="0" applyNumberFormat="1" applyFont="1" applyFill="1" applyBorder="1" applyAlignment="1">
      <alignment horizontal="center"/>
    </xf>
    <xf numFmtId="40" fontId="23" fillId="0" borderId="26" xfId="0" applyNumberFormat="1" applyFont="1" applyFill="1" applyBorder="1" applyAlignment="1">
      <alignment horizontal="right"/>
    </xf>
    <xf numFmtId="40" fontId="23" fillId="0" borderId="26" xfId="0" applyNumberFormat="1" applyFont="1" applyBorder="1" applyAlignment="1">
      <alignment horizontal="right"/>
    </xf>
    <xf numFmtId="1" fontId="24" fillId="41" borderId="0" xfId="0" applyNumberFormat="1" applyFont="1" applyFill="1" applyBorder="1" applyAlignment="1">
      <alignment horizontal="center" wrapText="1"/>
    </xf>
    <xf numFmtId="1" fontId="24" fillId="41" borderId="0" xfId="0" applyNumberFormat="1" applyFont="1" applyFill="1" applyBorder="1" applyAlignment="1">
      <alignment horizontal="center"/>
    </xf>
    <xf numFmtId="2" fontId="21" fillId="0" borderId="0" xfId="0" applyFont="1" applyBorder="1" applyAlignment="1">
      <alignment horizontal="left"/>
    </xf>
    <xf numFmtId="0" fontId="21"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left"/>
      <protection/>
    </xf>
    <xf numFmtId="0" fontId="23" fillId="0" borderId="18" xfId="0" applyNumberFormat="1" applyFont="1" applyFill="1" applyBorder="1" applyAlignment="1" applyProtection="1">
      <alignment horizontal="right" textRotation="90" wrapText="1"/>
      <protection/>
    </xf>
    <xf numFmtId="0" fontId="23" fillId="0" borderId="18" xfId="0" applyNumberFormat="1" applyFont="1" applyBorder="1" applyAlignment="1">
      <alignment textRotation="90" wrapText="1"/>
    </xf>
    <xf numFmtId="0" fontId="23" fillId="0" borderId="0" xfId="0" applyNumberFormat="1" applyFont="1" applyFill="1" applyBorder="1" applyAlignment="1">
      <alignment horizontal="right"/>
    </xf>
    <xf numFmtId="0" fontId="22" fillId="0" borderId="23" xfId="0" applyNumberFormat="1" applyFont="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Explanatory Text" xfId="46"/>
    <cellStyle name="Excel_BuiltIn_Good 1" xfId="47"/>
    <cellStyle name="Excel_BuiltIn_Input 1" xfId="48"/>
    <cellStyle name="Excel_BuiltIn_Neutral 1" xfId="49"/>
    <cellStyle name="Explanatory Text" xfId="50"/>
    <cellStyle name="Good" xfId="51"/>
    <cellStyle name="Heading 1" xfId="52"/>
    <cellStyle name="Heading 2" xfId="53"/>
    <cellStyle name="Heading 3" xfId="54"/>
    <cellStyle name="Heading 4" xfId="55"/>
    <cellStyle name="Hyperlink" xfId="56"/>
    <cellStyle name="Input" xfId="57"/>
    <cellStyle name="Input 2" xfId="58"/>
    <cellStyle name="Linked Cell" xfId="59"/>
    <cellStyle name="Neutral" xfId="60"/>
    <cellStyle name="Note" xfId="61"/>
    <cellStyle name="Output" xfId="62"/>
    <cellStyle name="Percent" xfId="63"/>
    <cellStyle name="Title" xfId="64"/>
    <cellStyle name="Total" xfId="65"/>
    <cellStyle name="Warning Text" xfId="66"/>
  </cellStyles>
  <dxfs count="2">
    <dxf>
      <fill>
        <patternFill patternType="solid">
          <fgColor indexed="26"/>
          <bgColor indexed="43"/>
        </patternFill>
      </fill>
    </dxf>
    <dxf>
      <fill>
        <patternFill patternType="solid">
          <fgColor indexed="22"/>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20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4586"/>
      <rgbColor rgb="00339966"/>
      <rgbColor rgb="00003300"/>
      <rgbColor rgb="001A1A1A"/>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1A1A1A"/>
                </a:solidFill>
                <a:latin typeface="Arial"/>
                <a:ea typeface="Arial"/>
                <a:cs typeface="Arial"/>
              </a:rPr>
              <a:t>Balance 242K 32 yr</a:t>
            </a:r>
          </a:p>
        </c:rich>
      </c:tx>
      <c:layout>
        <c:manualLayout>
          <c:xMode val="factor"/>
          <c:yMode val="factor"/>
          <c:x val="0.00225"/>
          <c:y val="0"/>
        </c:manualLayout>
      </c:layout>
      <c:spPr>
        <a:noFill/>
        <a:ln>
          <a:noFill/>
        </a:ln>
      </c:spPr>
    </c:title>
    <c:plotArea>
      <c:layout>
        <c:manualLayout>
          <c:xMode val="edge"/>
          <c:yMode val="edge"/>
          <c:x val="0.019"/>
          <c:y val="0.23475"/>
          <c:w val="0.905"/>
          <c:h val="0.6875"/>
        </c:manualLayout>
      </c:layout>
      <c:barChart>
        <c:barDir val="col"/>
        <c:grouping val="stacked"/>
        <c:varyColors val="0"/>
        <c:ser>
          <c:idx val="0"/>
          <c:order val="0"/>
          <c:tx>
            <c:strRef>
              <c:f>'40 Year Breakdown'!$C$17</c:f>
              <c:strCache>
                <c:ptCount val="1"/>
                <c:pt idx="0">
                  <c:v>Loanstock</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'40 Year Breakdown'!$D$44:$AQ$44</c:f>
              <c:numCache/>
            </c:numRef>
          </c:cat>
          <c:val>
            <c:numRef>
              <c:f>'40 Year Breakdown'!$D$17:$AQ$17</c:f>
              <c:numCache/>
            </c:numRef>
          </c:val>
        </c:ser>
        <c:overlap val="100"/>
        <c:gapWidth val="100"/>
        <c:axId val="55138807"/>
        <c:axId val="26487216"/>
      </c:barChart>
      <c:lineChart>
        <c:grouping val="standard"/>
        <c:varyColors val="0"/>
        <c:ser>
          <c:idx val="0"/>
          <c:order val="1"/>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'40 Year Breakdown'!$D$44:$AQ$44</c:f>
              <c:numCache/>
            </c:numRef>
          </c:cat>
          <c:val>
            <c:numRef>
              <c:f>'40 Year Breakdown'!$D$50:$AQ$50</c:f>
              <c:numCache/>
            </c:numRef>
          </c:val>
          <c:smooth val="0"/>
        </c:ser>
        <c:axId val="55138807"/>
        <c:axId val="26487216"/>
      </c:lineChart>
      <c:catAx>
        <c:axId val="55138807"/>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Year</a:t>
                </a:r>
              </a:p>
            </c:rich>
          </c:tx>
          <c:layout>
            <c:manualLayout>
              <c:xMode val="factor"/>
              <c:yMode val="factor"/>
              <c:x val="-0.01"/>
              <c:y val="0.0005"/>
            </c:manualLayout>
          </c:layout>
          <c:overlay val="0"/>
          <c:spPr>
            <a:noFill/>
            <a:ln>
              <a:noFill/>
            </a:ln>
          </c:spPr>
        </c:title>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26487216"/>
        <c:crosses val="autoZero"/>
        <c:auto val="1"/>
        <c:lblOffset val="100"/>
        <c:tickLblSkip val="1"/>
        <c:noMultiLvlLbl val="0"/>
      </c:catAx>
      <c:valAx>
        <c:axId val="26487216"/>
        <c:scaling>
          <c:orientation val="minMax"/>
          <c:min val="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13"/>
              <c:y val="-0.01175"/>
            </c:manualLayout>
          </c:layout>
          <c:overlay val="0"/>
          <c:spPr>
            <a:noFill/>
            <a:ln>
              <a:noFill/>
            </a:ln>
          </c:spPr>
        </c:title>
        <c:majorGridlines>
          <c:spPr>
            <a:ln w="3175">
              <a:solidFill>
                <a:srgbClr val="B3B3B3"/>
              </a:solidFill>
            </a:ln>
          </c:spPr>
        </c:majorGridlines>
        <c:delete val="0"/>
        <c:numFmt formatCode="\£#,##0.00;[Red]&quot;-£&quot;#,##0.00" sourceLinked="0"/>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55138807"/>
        <c:crossesAt val="1"/>
        <c:crossBetween val="between"/>
        <c:dispUnits/>
        <c:majorUnit val="10000"/>
        <c:minorUnit val="1000"/>
      </c:valAx>
      <c:spPr>
        <a:noFill/>
        <a:ln w="3175">
          <a:solidFill>
            <a:srgbClr val="B3B3B3"/>
          </a:solidFill>
        </a:ln>
      </c:spPr>
    </c:plotArea>
    <c:legend>
      <c:legendPos val="r"/>
      <c:layout>
        <c:manualLayout>
          <c:xMode val="edge"/>
          <c:yMode val="edge"/>
          <c:x val="0"/>
          <c:y val="0.0165"/>
          <c:w val="0.06475"/>
          <c:h val="0.10775"/>
        </c:manualLayout>
      </c:layout>
      <c:overlay val="0"/>
      <c:spPr>
        <a:noFill/>
        <a:ln w="3175">
          <a:noFill/>
        </a:ln>
      </c:spPr>
      <c:txPr>
        <a:bodyPr vert="horz" rot="0"/>
        <a:lstStyle/>
        <a:p>
          <a:pPr>
            <a:defRPr lang="en-US" cap="none" sz="675" b="0" i="0" u="none" baseline="0">
              <a:solidFill>
                <a:srgbClr val="1A1A1A"/>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
          <c:w val="0.8355"/>
          <c:h val="1"/>
        </c:manualLayout>
      </c:layout>
      <c:barChart>
        <c:barDir val="col"/>
        <c:grouping val="stacked"/>
        <c:varyColors val="0"/>
        <c:ser>
          <c:idx val="0"/>
          <c:order val="0"/>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'40 Year Breakdown'!$D$17:$AQ$17</c:f>
              <c:numCache>
                <c:ptCount val="40"/>
                <c:pt idx="0">
                  <c:v>1000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100"/>
        <c:gapWidth val="100"/>
        <c:axId val="37058353"/>
        <c:axId val="65089722"/>
      </c:barChart>
      <c:lineChart>
        <c:grouping val="standard"/>
        <c:varyColors val="0"/>
        <c:ser>
          <c:idx val="0"/>
          <c:order val="1"/>
          <c:spPr>
            <a:ln w="254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'40 Year Breakdown'!$D$50:$AQ$50</c:f>
              <c:numCache>
                <c:ptCount val="40"/>
                <c:pt idx="0">
                  <c:v>92997.12572267736</c:v>
                </c:pt>
                <c:pt idx="1">
                  <c:v>84758.25144535472</c:v>
                </c:pt>
                <c:pt idx="2">
                  <c:v>76482.29716803206</c:v>
                </c:pt>
                <c:pt idx="3">
                  <c:v>68168.15049070939</c:v>
                </c:pt>
                <c:pt idx="4">
                  <c:v>60049.565641386704</c:v>
                </c:pt>
                <c:pt idx="5">
                  <c:v>51890.462474903994</c:v>
                </c:pt>
                <c:pt idx="6">
                  <c:v>43689.625441746466</c:v>
                </c:pt>
                <c:pt idx="7">
                  <c:v>35445.80252591388</c:v>
                </c:pt>
                <c:pt idx="8">
                  <c:v>27157.704150925987</c:v>
                </c:pt>
                <c:pt idx="9">
                  <c:v>9058.902053008118</c:v>
                </c:pt>
                <c:pt idx="10">
                  <c:v>913.1281204723782</c:v>
                </c:pt>
                <c:pt idx="11">
                  <c:v>-7281.026801719769</c:v>
                </c:pt>
                <c:pt idx="12">
                  <c:v>-15525.014143258015</c:v>
                </c:pt>
                <c:pt idx="13">
                  <c:v>-23820.328876722742</c:v>
                </c:pt>
                <c:pt idx="14">
                  <c:v>-31933.610823871746</c:v>
                </c:pt>
                <c:pt idx="15">
                  <c:v>-40101.346001115555</c:v>
                </c:pt>
                <c:pt idx="16">
                  <c:v>-48325.168005357016</c:v>
                </c:pt>
                <c:pt idx="17">
                  <c:v>-56606.75944140606</c:v>
                </c:pt>
                <c:pt idx="18">
                  <c:v>-64947.8533922169</c:v>
                </c:pt>
                <c:pt idx="19">
                  <c:v>-83115.33493323241</c:v>
                </c:pt>
                <c:pt idx="20">
                  <c:v>-91345.94269215871</c:v>
                </c:pt>
                <c:pt idx="21">
                  <c:v>-99641.57045553315</c:v>
                </c:pt>
                <c:pt idx="22">
                  <c:v>-108004.16882348915</c:v>
                </c:pt>
                <c:pt idx="23">
                  <c:v>-116435.74691416416</c:v>
                </c:pt>
                <c:pt idx="24">
                  <c:v>-124703.47411923978</c:v>
                </c:pt>
                <c:pt idx="25">
                  <c:v>-133044.38191214798</c:v>
                </c:pt>
                <c:pt idx="26">
                  <c:v>-141460.66571052378</c:v>
                </c:pt>
                <c:pt idx="27">
                  <c:v>-149954.58679453118</c:v>
                </c:pt>
                <c:pt idx="28">
                  <c:v>-158528.47428273913</c:v>
                </c:pt>
                <c:pt idx="29">
                  <c:v>-176949.82716727367</c:v>
                </c:pt>
                <c:pt idx="30">
                  <c:v>-178453.14213270126</c:v>
                </c:pt>
                <c:pt idx="31">
                  <c:v>-180043.8385470917</c:v>
                </c:pt>
                <c:pt idx="32">
                  <c:v>-181724.53785391382</c:v>
                </c:pt>
                <c:pt idx="33">
                  <c:v>-183497.94013994062</c:v>
                </c:pt>
                <c:pt idx="34">
                  <c:v>-185131.9264945482</c:v>
                </c:pt>
                <c:pt idx="35">
                  <c:v>-186864.26143979403</c:v>
                </c:pt>
                <c:pt idx="36">
                  <c:v>-188697.89543339724</c:v>
                </c:pt>
                <c:pt idx="37">
                  <c:v>-190635.86744680855</c:v>
                </c:pt>
                <c:pt idx="38">
                  <c:v>-192681.3076206222</c:v>
                </c:pt>
                <c:pt idx="39">
                  <c:v>-194602.53999965024</c:v>
                </c:pt>
              </c:numCache>
            </c:numRef>
          </c:val>
          <c:smooth val="0"/>
        </c:ser>
        <c:axId val="37058353"/>
        <c:axId val="65089722"/>
      </c:lineChart>
      <c:catAx>
        <c:axId val="37058353"/>
        <c:scaling>
          <c:orientation val="minMax"/>
        </c:scaling>
        <c:axPos val="b"/>
        <c:delete val="0"/>
        <c:numFmt formatCode="General" sourceLinked="1"/>
        <c:majorTickMark val="out"/>
        <c:minorTickMark val="none"/>
        <c:tickLblPos val="low"/>
        <c:spPr>
          <a:ln w="3175">
            <a:solidFill>
              <a:srgbClr val="B3B3B3"/>
            </a:solidFill>
          </a:ln>
        </c:spPr>
        <c:txPr>
          <a:bodyPr vert="horz" rot="0"/>
          <a:lstStyle/>
          <a:p>
            <a:pPr>
              <a:defRPr lang="en-US" cap="none" sz="700" b="0" i="0" u="none" baseline="0">
                <a:solidFill>
                  <a:srgbClr val="1A1A1A"/>
                </a:solidFill>
                <a:latin typeface="Arial"/>
                <a:ea typeface="Arial"/>
                <a:cs typeface="Arial"/>
              </a:defRPr>
            </a:pPr>
          </a:p>
        </c:txPr>
        <c:crossAx val="65089722"/>
        <c:crosses val="autoZero"/>
        <c:auto val="0"/>
        <c:lblOffset val="100"/>
        <c:tickLblSkip val="2"/>
        <c:noMultiLvlLbl val="0"/>
      </c:catAx>
      <c:valAx>
        <c:axId val="65089722"/>
        <c:scaling>
          <c:orientation val="minMax"/>
          <c:max val="80000"/>
          <c:min val="-1000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2425"/>
              <c:y val="-0.02125"/>
            </c:manualLayout>
          </c:layout>
          <c:overlay val="0"/>
          <c:spPr>
            <a:noFill/>
            <a:ln>
              <a:noFill/>
            </a:ln>
          </c:spPr>
        </c:title>
        <c:majorGridlines>
          <c:spPr>
            <a:ln w="3175">
              <a:solidFill>
                <a:srgbClr val="B3B3B3"/>
              </a:solidFill>
            </a:ln>
          </c:spPr>
        </c:majorGridlines>
        <c:delete val="0"/>
        <c:numFmt formatCode="\£#,##0.00;[Red]&quot;-£&quot;#,##0.00" sourceLinked="0"/>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37058353"/>
        <c:crossesAt val="1"/>
        <c:crossBetween val="between"/>
        <c:dispUnits/>
        <c:majorUnit val="10000"/>
        <c:minorUnit val="10000"/>
      </c:valAx>
      <c:spPr>
        <a:noFill/>
        <a:ln w="3175">
          <a:solidFill>
            <a:srgbClr val="B3B3B3"/>
          </a:solidFill>
        </a:ln>
      </c:spPr>
    </c:plotArea>
    <c:legend>
      <c:legendPos val="r"/>
      <c:layout>
        <c:manualLayout>
          <c:xMode val="edge"/>
          <c:yMode val="edge"/>
          <c:x val="0"/>
          <c:y val="0.00675"/>
          <c:w val="0.12775"/>
          <c:h val="0.48325"/>
        </c:manualLayout>
      </c:layout>
      <c:overlay val="0"/>
      <c:spPr>
        <a:noFill/>
        <a:ln w="3175">
          <a:noFill/>
        </a:ln>
      </c:spPr>
      <c:txPr>
        <a:bodyPr vert="horz" rot="0"/>
        <a:lstStyle/>
        <a:p>
          <a:pPr>
            <a:defRPr lang="en-US" cap="none" sz="675" b="0" i="0" u="none" baseline="0">
              <a:solidFill>
                <a:srgbClr val="1A1A1A"/>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72</xdr:row>
      <xdr:rowOff>66675</xdr:rowOff>
    </xdr:from>
    <xdr:to>
      <xdr:col>18</xdr:col>
      <xdr:colOff>438150</xdr:colOff>
      <xdr:row>94</xdr:row>
      <xdr:rowOff>28575</xdr:rowOff>
    </xdr:to>
    <xdr:graphicFrame>
      <xdr:nvGraphicFramePr>
        <xdr:cNvPr id="1" name="Chart 10"/>
        <xdr:cNvGraphicFramePr/>
      </xdr:nvGraphicFramePr>
      <xdr:xfrm>
        <a:off x="3914775" y="12296775"/>
        <a:ext cx="12287250"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104775</xdr:rowOff>
    </xdr:from>
    <xdr:to>
      <xdr:col>22</xdr:col>
      <xdr:colOff>352425</xdr:colOff>
      <xdr:row>15</xdr:row>
      <xdr:rowOff>28575</xdr:rowOff>
    </xdr:to>
    <xdr:graphicFrame>
      <xdr:nvGraphicFramePr>
        <xdr:cNvPr id="1" name="Chart 9"/>
        <xdr:cNvGraphicFramePr/>
      </xdr:nvGraphicFramePr>
      <xdr:xfrm>
        <a:off x="1790700" y="104775"/>
        <a:ext cx="7162800" cy="1504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finance@lists.riseup.net" TargetMode="External" /><Relationship Id="rId2" Type="http://schemas.openxmlformats.org/officeDocument/2006/relationships/hyperlink" Target="http://www.radicalroutes.org.uk/" TargetMode="External" /><Relationship Id="rId3" Type="http://schemas.openxmlformats.org/officeDocument/2006/relationships/hyperlink" Target="https://lha-direct.voa.gov.uk/Secure/LHASearchIntro.aspx" TargetMode="External" /><Relationship Id="rId4" Type="http://schemas.openxmlformats.org/officeDocument/2006/relationships/hyperlink" Target="http://www.hmrc.gov.uk/sdlt/rates-thresholds.htm"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stamp-duty-land-tax-rates" TargetMode="External" /></Relationships>
</file>

<file path=xl/worksheets/sheet1.xml><?xml version="1.0" encoding="utf-8"?>
<worksheet xmlns="http://schemas.openxmlformats.org/spreadsheetml/2006/main" xmlns:r="http://schemas.openxmlformats.org/officeDocument/2006/relationships">
  <dimension ref="B1:O84"/>
  <sheetViews>
    <sheetView zoomScalePageLayoutView="0" workbookViewId="0" topLeftCell="A1">
      <selection activeCell="E24" sqref="E24"/>
    </sheetView>
  </sheetViews>
  <sheetFormatPr defaultColWidth="9.00390625" defaultRowHeight="12.75" customHeight="1"/>
  <cols>
    <col min="1" max="1" width="3.140625" style="1" customWidth="1"/>
    <col min="2" max="2" width="9.421875" style="1" customWidth="1"/>
    <col min="3" max="3" width="5.7109375" style="1" customWidth="1"/>
    <col min="4" max="4" width="26.421875" style="1" customWidth="1"/>
    <col min="5" max="5" width="17.140625" style="1" customWidth="1"/>
    <col min="6" max="6" width="12.00390625" style="1" customWidth="1"/>
    <col min="7" max="7" width="15.7109375" style="2" customWidth="1"/>
    <col min="8" max="8" width="11.28125" style="2" customWidth="1"/>
    <col min="9" max="9" width="10.7109375" style="2" customWidth="1"/>
    <col min="10" max="10" width="11.140625" style="1" customWidth="1"/>
    <col min="11" max="16384" width="9.00390625" style="1" customWidth="1"/>
  </cols>
  <sheetData>
    <row r="1" spans="2:11" ht="25.5" customHeight="1">
      <c r="B1" s="3" t="s">
        <v>0</v>
      </c>
      <c r="K1" s="4" t="s">
        <v>1</v>
      </c>
    </row>
    <row r="2" spans="2:11" ht="23.25" customHeight="1">
      <c r="B2" s="5"/>
      <c r="G2"/>
      <c r="K2" s="4" t="s">
        <v>2</v>
      </c>
    </row>
    <row r="3" spans="2:11" ht="23.25" customHeight="1">
      <c r="B3" s="5"/>
      <c r="H3"/>
      <c r="K3" s="6" t="s">
        <v>3</v>
      </c>
    </row>
    <row r="4" spans="2:11" ht="23.25" customHeight="1">
      <c r="B4" s="5"/>
      <c r="E4"/>
      <c r="K4" s="6" t="s">
        <v>4</v>
      </c>
    </row>
    <row r="5" spans="2:15" ht="23.25" customHeight="1">
      <c r="B5" s="5"/>
      <c r="G5"/>
      <c r="H5" s="7"/>
      <c r="K5" s="8" t="s">
        <v>5</v>
      </c>
      <c r="O5" s="8" t="s">
        <v>6</v>
      </c>
    </row>
    <row r="6" spans="2:15" ht="23.25" customHeight="1">
      <c r="B6" s="5"/>
      <c r="K6" s="9" t="s">
        <v>7</v>
      </c>
      <c r="O6" s="8"/>
    </row>
    <row r="7" spans="2:11" ht="18" customHeight="1">
      <c r="B7" s="10" t="s">
        <v>8</v>
      </c>
      <c r="K7" s="4"/>
    </row>
    <row r="8" spans="4:11" ht="15" customHeight="1">
      <c r="D8" s="1" t="s">
        <v>9</v>
      </c>
      <c r="E8" s="11"/>
      <c r="F8" s="12"/>
      <c r="K8" s="9" t="s">
        <v>10</v>
      </c>
    </row>
    <row r="9" spans="4:11" ht="15" customHeight="1">
      <c r="D9" s="13" t="s">
        <v>11</v>
      </c>
      <c r="E9" s="551"/>
      <c r="F9" s="551"/>
      <c r="G9" s="551"/>
      <c r="H9" s="551"/>
      <c r="K9" s="9" t="s">
        <v>12</v>
      </c>
    </row>
    <row r="10" spans="4:11" ht="15" customHeight="1">
      <c r="D10" s="13"/>
      <c r="F10" s="14"/>
      <c r="G10" s="15"/>
      <c r="H10" s="15"/>
      <c r="K10" s="9"/>
    </row>
    <row r="11" ht="18" customHeight="1">
      <c r="B11" s="10" t="s">
        <v>13</v>
      </c>
    </row>
    <row r="12" ht="12.75" customHeight="1">
      <c r="C12" s="16" t="s">
        <v>14</v>
      </c>
    </row>
    <row r="13" spans="5:9" ht="12.75" customHeight="1">
      <c r="E13" s="17" t="s">
        <v>15</v>
      </c>
      <c r="F13" s="17" t="s">
        <v>16</v>
      </c>
      <c r="G13" s="18" t="s">
        <v>17</v>
      </c>
      <c r="H13" s="18" t="s">
        <v>18</v>
      </c>
      <c r="I13" s="18" t="s">
        <v>19</v>
      </c>
    </row>
    <row r="14" spans="4:11" ht="15" customHeight="1">
      <c r="D14" s="1" t="s">
        <v>20</v>
      </c>
      <c r="E14" s="19"/>
      <c r="F14" s="20">
        <v>1</v>
      </c>
      <c r="G14" s="2">
        <f>I14*52.2</f>
        <v>0</v>
      </c>
      <c r="H14" s="2">
        <f>G14/12</f>
        <v>0</v>
      </c>
      <c r="I14" s="2">
        <f>E14*F14</f>
        <v>0</v>
      </c>
      <c r="K14" s="9" t="s">
        <v>21</v>
      </c>
    </row>
    <row r="15" spans="4:11" ht="15" customHeight="1">
      <c r="D15" s="1" t="s">
        <v>22</v>
      </c>
      <c r="E15" s="19"/>
      <c r="F15" s="20"/>
      <c r="G15" s="2">
        <f>I15*52.2</f>
        <v>0</v>
      </c>
      <c r="H15" s="2">
        <f>G15/12</f>
        <v>0</v>
      </c>
      <c r="I15" s="2">
        <f>E15*F15</f>
        <v>0</v>
      </c>
      <c r="K15" s="9" t="s">
        <v>23</v>
      </c>
    </row>
    <row r="16" spans="4:11" ht="15" customHeight="1">
      <c r="D16" s="1" t="s">
        <v>24</v>
      </c>
      <c r="E16" s="19"/>
      <c r="F16" s="20"/>
      <c r="G16" s="2">
        <f>I16*52.2</f>
        <v>0</v>
      </c>
      <c r="H16" s="2">
        <f>G16/12</f>
        <v>0</v>
      </c>
      <c r="I16" s="2">
        <f>E16*F16</f>
        <v>0</v>
      </c>
      <c r="K16" s="9" t="s">
        <v>25</v>
      </c>
    </row>
    <row r="17" spans="4:11" ht="15" customHeight="1">
      <c r="D17" s="1" t="s">
        <v>26</v>
      </c>
      <c r="E17" s="19"/>
      <c r="F17" s="20"/>
      <c r="G17" s="2">
        <f>I17*52.2</f>
        <v>0</v>
      </c>
      <c r="H17" s="2">
        <f>G17/12</f>
        <v>0</v>
      </c>
      <c r="I17" s="2">
        <f>E17*F17</f>
        <v>0</v>
      </c>
      <c r="K17" s="21" t="s">
        <v>27</v>
      </c>
    </row>
    <row r="18" spans="5:11" ht="12.75" customHeight="1">
      <c r="E18" s="22" t="s">
        <v>28</v>
      </c>
      <c r="F18" s="12">
        <f>SUM(F14:F17)</f>
        <v>1</v>
      </c>
      <c r="K18" s="21"/>
    </row>
    <row r="19" spans="5:11" ht="12.75" customHeight="1">
      <c r="E19" s="22"/>
      <c r="F19" s="12"/>
      <c r="K19" s="21"/>
    </row>
    <row r="21" spans="6:11" ht="15" customHeight="1">
      <c r="F21" s="22" t="s">
        <v>29</v>
      </c>
      <c r="G21" s="23">
        <f>SUM(G14:G17)</f>
        <v>0</v>
      </c>
      <c r="H21" s="23">
        <f>SUM(H14:H17)</f>
        <v>0</v>
      </c>
      <c r="I21" s="23">
        <f>SUM(I14:I17)</f>
        <v>0</v>
      </c>
      <c r="K21" s="9" t="s">
        <v>30</v>
      </c>
    </row>
    <row r="22" ht="15" customHeight="1">
      <c r="K22" s="9"/>
    </row>
    <row r="23" ht="15" customHeight="1">
      <c r="K23" s="9"/>
    </row>
    <row r="24" spans="2:11" ht="15" customHeight="1">
      <c r="B24" s="24"/>
      <c r="C24" s="16" t="s">
        <v>31</v>
      </c>
      <c r="G24" s="18" t="s">
        <v>17</v>
      </c>
      <c r="H24" s="18" t="s">
        <v>18</v>
      </c>
      <c r="I24" s="18" t="s">
        <v>19</v>
      </c>
      <c r="K24" s="9"/>
    </row>
    <row r="25" spans="2:11" ht="15" customHeight="1">
      <c r="B25" s="24"/>
      <c r="D25" s="1" t="s">
        <v>32</v>
      </c>
      <c r="F25" s="25">
        <v>0.1</v>
      </c>
      <c r="G25" s="26">
        <f>F25*G21</f>
        <v>0</v>
      </c>
      <c r="H25" s="2">
        <f aca="true" t="shared" si="0" ref="H25:H32">G25/12</f>
        <v>0</v>
      </c>
      <c r="I25" s="2">
        <f aca="true" t="shared" si="1" ref="I25:I32">G25/52.2</f>
        <v>0</v>
      </c>
      <c r="K25" s="9" t="s">
        <v>33</v>
      </c>
    </row>
    <row r="26" spans="2:11" ht="15" customHeight="1">
      <c r="B26" s="27"/>
      <c r="D26" s="1" t="s">
        <v>34</v>
      </c>
      <c r="F26" s="28">
        <f aca="true" t="shared" si="2" ref="F26:F32">IF(G26&gt;0,"estimated","")</f>
      </c>
      <c r="G26" s="29"/>
      <c r="H26" s="2">
        <f t="shared" si="0"/>
        <v>0</v>
      </c>
      <c r="I26" s="2">
        <f t="shared" si="1"/>
        <v>0</v>
      </c>
      <c r="K26" s="9" t="s">
        <v>35</v>
      </c>
    </row>
    <row r="27" spans="2:11" ht="15" customHeight="1">
      <c r="B27" s="27"/>
      <c r="D27" s="1" t="s">
        <v>36</v>
      </c>
      <c r="F27" s="28" t="str">
        <f t="shared" si="2"/>
        <v>estimated</v>
      </c>
      <c r="G27" s="29">
        <v>1200</v>
      </c>
      <c r="H27" s="2">
        <f t="shared" si="0"/>
        <v>100</v>
      </c>
      <c r="I27" s="2">
        <f t="shared" si="1"/>
        <v>22.988505747126435</v>
      </c>
      <c r="K27" s="9" t="s">
        <v>37</v>
      </c>
    </row>
    <row r="28" spans="2:11" ht="15" customHeight="1">
      <c r="B28" s="27"/>
      <c r="D28" s="1" t="s">
        <v>38</v>
      </c>
      <c r="F28" s="28">
        <f t="shared" si="2"/>
      </c>
      <c r="G28" s="29"/>
      <c r="H28" s="2">
        <f t="shared" si="0"/>
        <v>0</v>
      </c>
      <c r="I28" s="2">
        <f t="shared" si="1"/>
        <v>0</v>
      </c>
      <c r="K28" s="9" t="s">
        <v>39</v>
      </c>
    </row>
    <row r="29" spans="2:11" ht="15" customHeight="1">
      <c r="B29" s="27"/>
      <c r="D29" s="1" t="s">
        <v>40</v>
      </c>
      <c r="F29" s="28">
        <f t="shared" si="2"/>
      </c>
      <c r="G29" s="29"/>
      <c r="H29" s="30">
        <f t="shared" si="0"/>
        <v>0</v>
      </c>
      <c r="I29" s="2">
        <f t="shared" si="1"/>
        <v>0</v>
      </c>
      <c r="K29" s="9"/>
    </row>
    <row r="30" spans="2:11" ht="15" customHeight="1">
      <c r="B30" s="27"/>
      <c r="D30" s="1" t="s">
        <v>41</v>
      </c>
      <c r="F30" s="28">
        <f t="shared" si="2"/>
      </c>
      <c r="G30" s="29"/>
      <c r="H30" s="30">
        <f t="shared" si="0"/>
        <v>0</v>
      </c>
      <c r="I30" s="2">
        <f t="shared" si="1"/>
        <v>0</v>
      </c>
      <c r="K30" s="9"/>
    </row>
    <row r="31" spans="2:11" ht="15" customHeight="1">
      <c r="B31" s="27"/>
      <c r="D31" s="1" t="s">
        <v>42</v>
      </c>
      <c r="F31" s="28">
        <f t="shared" si="2"/>
      </c>
      <c r="G31" s="29"/>
      <c r="H31" s="2">
        <f t="shared" si="0"/>
        <v>0</v>
      </c>
      <c r="I31" s="2">
        <f t="shared" si="1"/>
        <v>0</v>
      </c>
      <c r="K31" s="9" t="s">
        <v>43</v>
      </c>
    </row>
    <row r="32" spans="2:11" ht="15" customHeight="1">
      <c r="B32" s="27"/>
      <c r="D32" s="1" t="s">
        <v>44</v>
      </c>
      <c r="F32" s="28">
        <f t="shared" si="2"/>
      </c>
      <c r="G32" s="29"/>
      <c r="H32" s="30">
        <f t="shared" si="0"/>
        <v>0</v>
      </c>
      <c r="I32" s="2">
        <f t="shared" si="1"/>
        <v>0</v>
      </c>
      <c r="K32" s="9"/>
    </row>
    <row r="33" ht="12.75" customHeight="1">
      <c r="B33" s="31"/>
    </row>
    <row r="34" spans="2:11" ht="15" customHeight="1">
      <c r="B34" s="24"/>
      <c r="K34" s="9"/>
    </row>
    <row r="35" spans="4:11" ht="15" customHeight="1">
      <c r="D35" s="1" t="str">
        <f>Loans!F8</f>
        <v>EBS Mortgage</v>
      </c>
      <c r="G35" s="2">
        <f>Loans!L8</f>
        <v>7002.874277322635</v>
      </c>
      <c r="H35" s="2">
        <f>G35/12</f>
        <v>583.572856443553</v>
      </c>
      <c r="I35" s="2">
        <f>G35/52.2</f>
        <v>134.15467964219607</v>
      </c>
      <c r="K35" s="9" t="s">
        <v>45</v>
      </c>
    </row>
    <row r="36" spans="4:9" ht="12.75" customHeight="1">
      <c r="D36" s="1" t="str">
        <f>Loans!F9</f>
        <v>Radical Routes Loan</v>
      </c>
      <c r="G36" s="2">
        <f>Loans!L9</f>
        <v>0</v>
      </c>
      <c r="H36" s="2">
        <f>G36/12</f>
        <v>0</v>
      </c>
      <c r="I36" s="2">
        <f>G36/52.2</f>
        <v>0</v>
      </c>
    </row>
    <row r="37" spans="4:9" ht="12.75" customHeight="1">
      <c r="D37" s="32">
        <f>Loans!F10</f>
        <v>0</v>
      </c>
      <c r="G37" s="2">
        <f>Loans!L10</f>
        <v>0</v>
      </c>
      <c r="H37" s="2">
        <f>G37/12</f>
        <v>0</v>
      </c>
      <c r="I37" s="2">
        <f>G37/52.2</f>
        <v>0</v>
      </c>
    </row>
    <row r="38" spans="4:9" ht="12.75" customHeight="1">
      <c r="D38" s="32">
        <f>Loans!F11</f>
        <v>0</v>
      </c>
      <c r="G38" s="2">
        <f>Loans!L11</f>
        <v>0</v>
      </c>
      <c r="H38" s="2">
        <f>G38/12</f>
        <v>0</v>
      </c>
      <c r="I38" s="2">
        <f>G38/52.2</f>
        <v>0</v>
      </c>
    </row>
    <row r="39" spans="4:11" ht="15" customHeight="1">
      <c r="D39" s="1" t="s">
        <v>46</v>
      </c>
      <c r="G39" s="2">
        <f>Loans!L82</f>
        <v>1000</v>
      </c>
      <c r="H39" s="2">
        <f>G39/12</f>
        <v>83.33333333333333</v>
      </c>
      <c r="I39" s="2">
        <f>G39/52.2</f>
        <v>19.157088122605362</v>
      </c>
      <c r="K39" s="9" t="s">
        <v>47</v>
      </c>
    </row>
    <row r="41" spans="6:9" ht="12.75" customHeight="1">
      <c r="F41" s="22" t="s">
        <v>48</v>
      </c>
      <c r="G41" s="23">
        <f>SUM(G25:G39)</f>
        <v>9202.874277322635</v>
      </c>
      <c r="H41" s="23">
        <f>SUM(H25:H39)</f>
        <v>766.9061897768863</v>
      </c>
      <c r="I41" s="23">
        <f>SUM(I25:I39)</f>
        <v>176.30027351192786</v>
      </c>
    </row>
    <row r="42" spans="6:9" ht="12.75" customHeight="1">
      <c r="F42" s="22"/>
      <c r="G42" s="33"/>
      <c r="H42" s="33"/>
      <c r="I42" s="33"/>
    </row>
    <row r="43" spans="7:9" ht="12.75" customHeight="1">
      <c r="G43" s="18" t="s">
        <v>17</v>
      </c>
      <c r="H43" s="18" t="s">
        <v>18</v>
      </c>
      <c r="I43" s="18" t="s">
        <v>19</v>
      </c>
    </row>
    <row r="44" spans="6:11" ht="15" customHeight="1">
      <c r="F44" s="22" t="s">
        <v>49</v>
      </c>
      <c r="G44" s="34">
        <f>G21-G41</f>
        <v>-9202.874277322635</v>
      </c>
      <c r="H44" s="34">
        <f>H21-H41</f>
        <v>-766.9061897768863</v>
      </c>
      <c r="I44" s="34">
        <f>I21-I41</f>
        <v>-176.30027351192786</v>
      </c>
      <c r="K44" s="9" t="s">
        <v>50</v>
      </c>
    </row>
    <row r="46" spans="6:11" ht="15" customHeight="1">
      <c r="F46" s="22" t="s">
        <v>51</v>
      </c>
      <c r="G46" s="35">
        <f>G39+G44</f>
        <v>-8202.874277322635</v>
      </c>
      <c r="H46" s="35">
        <f>H39+H44</f>
        <v>-683.572856443553</v>
      </c>
      <c r="I46" s="35">
        <f>I39+I44</f>
        <v>-157.1431853893225</v>
      </c>
      <c r="K46" s="9" t="s">
        <v>52</v>
      </c>
    </row>
    <row r="47" ht="18" customHeight="1">
      <c r="B47" s="10" t="s">
        <v>53</v>
      </c>
    </row>
    <row r="48" spans="3:8" ht="12.75" customHeight="1">
      <c r="C48" s="36" t="s">
        <v>54</v>
      </c>
      <c r="D48" s="37"/>
      <c r="E48" s="37"/>
      <c r="F48" s="37"/>
      <c r="G48" s="38"/>
      <c r="H48" s="38"/>
    </row>
    <row r="49" spans="3:8" ht="12.75" customHeight="1">
      <c r="C49" s="37"/>
      <c r="D49" s="37"/>
      <c r="E49" s="37"/>
      <c r="F49" s="37"/>
      <c r="G49" s="38"/>
      <c r="H49" s="38"/>
    </row>
    <row r="50" spans="4:9" ht="15" customHeight="1">
      <c r="D50" s="37" t="s">
        <v>55</v>
      </c>
      <c r="E50" s="37"/>
      <c r="G50" s="38">
        <f>Loans!G12</f>
        <v>100000</v>
      </c>
      <c r="I50" s="39" t="s">
        <v>56</v>
      </c>
    </row>
    <row r="51" spans="4:9" ht="15" customHeight="1">
      <c r="D51" s="37" t="s">
        <v>57</v>
      </c>
      <c r="E51" s="37"/>
      <c r="G51" s="38">
        <f>Loans!G82</f>
        <v>1000</v>
      </c>
      <c r="I51" s="39" t="s">
        <v>56</v>
      </c>
    </row>
    <row r="52" spans="4:9" ht="15" customHeight="1">
      <c r="D52" s="37" t="s">
        <v>58</v>
      </c>
      <c r="E52" s="37"/>
      <c r="F52" s="40">
        <f>IF(G52&gt;0,"estimated","")</f>
      </c>
      <c r="G52" s="41">
        <v>0</v>
      </c>
      <c r="I52" s="39" t="s">
        <v>59</v>
      </c>
    </row>
    <row r="53" spans="4:7" ht="12.75" customHeight="1">
      <c r="D53" s="37"/>
      <c r="E53" s="37"/>
      <c r="G53" s="38"/>
    </row>
    <row r="54" spans="5:7" ht="12.75" customHeight="1">
      <c r="E54" s="37"/>
      <c r="F54" s="42" t="s">
        <v>60</v>
      </c>
      <c r="G54" s="43">
        <f>SUM(G50:G52)</f>
        <v>101000</v>
      </c>
    </row>
    <row r="55" spans="5:7" ht="12.75" customHeight="1">
      <c r="E55" s="37"/>
      <c r="F55" s="42"/>
      <c r="G55" s="44"/>
    </row>
    <row r="56" spans="3:7" ht="12.75" customHeight="1">
      <c r="C56" s="16" t="s">
        <v>61</v>
      </c>
      <c r="E56" s="37"/>
      <c r="F56" s="42"/>
      <c r="G56" s="44"/>
    </row>
    <row r="57" spans="3:7" ht="12.75" customHeight="1">
      <c r="C57" s="16"/>
      <c r="E57" s="37"/>
      <c r="F57" s="42"/>
      <c r="G57" s="44"/>
    </row>
    <row r="58" spans="4:9" ht="15" customHeight="1">
      <c r="D58" s="1" t="s">
        <v>62</v>
      </c>
      <c r="E58" s="37"/>
      <c r="F58" s="42"/>
      <c r="G58" s="45">
        <f>IF(G64&lt;&gt;0,G50/G64,0)</f>
        <v>0</v>
      </c>
      <c r="I58" s="39" t="s">
        <v>63</v>
      </c>
    </row>
    <row r="59" spans="4:9" ht="15" customHeight="1">
      <c r="D59" s="1" t="s">
        <v>64</v>
      </c>
      <c r="E59" s="37"/>
      <c r="F59" s="42"/>
      <c r="G59" s="46" t="str">
        <f>IF(G60&gt;0,"YES !","NO")</f>
        <v>YES !</v>
      </c>
      <c r="I59" s="39" t="s">
        <v>65</v>
      </c>
    </row>
    <row r="60" spans="4:9" ht="15" customHeight="1">
      <c r="D60" s="1" t="s">
        <v>66</v>
      </c>
      <c r="E60" s="37"/>
      <c r="F60" s="42"/>
      <c r="G60" s="2">
        <f>IF((Loans!G8+Loans!G9+Loans!G10+Loans!G11)&gt;(0.9*'Inc &amp; Exp'!G64),1.2*((Loans!G8+Loans!G9+Loans!G10+Loans!G11)-(0.9*'Inc &amp; Exp'!G64)),0)</f>
        <v>120000</v>
      </c>
      <c r="I60" s="39" t="s">
        <v>67</v>
      </c>
    </row>
    <row r="61" spans="5:7" ht="12.75" customHeight="1">
      <c r="E61" s="37"/>
      <c r="F61" s="42"/>
      <c r="G61" s="44"/>
    </row>
    <row r="62" ht="12.75" customHeight="1">
      <c r="B62" s="16"/>
    </row>
    <row r="63" spans="3:7" ht="12.75" customHeight="1">
      <c r="C63" s="36" t="s">
        <v>68</v>
      </c>
      <c r="G63" s="18" t="s">
        <v>69</v>
      </c>
    </row>
    <row r="64" spans="4:7" ht="15" customHeight="1">
      <c r="D64" s="47" t="s">
        <v>70</v>
      </c>
      <c r="F64" s="40">
        <f>IF(G64&gt;0,"estimated","")</f>
      </c>
      <c r="G64" s="41"/>
    </row>
    <row r="65" spans="3:9" ht="15" customHeight="1">
      <c r="C65" s="37"/>
      <c r="D65" s="47" t="s">
        <v>71</v>
      </c>
      <c r="F65" s="48"/>
      <c r="G65" s="38">
        <f>IF(G64&lt;=125000,0,IF(G64&lt;=250000,(G64-125000)*0.02,IF(G64&lt;=925000,125000*0.02+(G64-250000)*0.05,IF(G64&lt;=1500000,125000*0.02+675000*0.05+(G64-925000)*0.1,IF(G64&gt;1500000,125000*0.02+675000*0.05+575000*0.1+(G64-1500000)*0.12)))))</f>
        <v>0</v>
      </c>
      <c r="H65" s="38"/>
      <c r="I65" s="39" t="s">
        <v>72</v>
      </c>
    </row>
    <row r="66" spans="3:15" ht="15" customHeight="1">
      <c r="C66" s="37"/>
      <c r="D66" s="47"/>
      <c r="F66" s="49"/>
      <c r="G66" s="38"/>
      <c r="H66" s="38"/>
      <c r="I66" s="39" t="s">
        <v>73</v>
      </c>
      <c r="O66" s="50" t="s">
        <v>74</v>
      </c>
    </row>
    <row r="67" spans="4:9" ht="15" customHeight="1">
      <c r="D67" s="47" t="s">
        <v>75</v>
      </c>
      <c r="F67" s="40">
        <f aca="true" t="shared" si="3" ref="F67:F72">IF(G67&gt;0,"estimated","")</f>
      </c>
      <c r="G67" s="41">
        <v>0</v>
      </c>
      <c r="I67" s="39" t="s">
        <v>76</v>
      </c>
    </row>
    <row r="68" spans="4:9" ht="15" customHeight="1">
      <c r="D68" s="47" t="s">
        <v>77</v>
      </c>
      <c r="F68" s="40">
        <f t="shared" si="3"/>
      </c>
      <c r="G68" s="41">
        <v>0</v>
      </c>
      <c r="I68" s="39" t="s">
        <v>78</v>
      </c>
    </row>
    <row r="69" spans="4:9" ht="15" customHeight="1">
      <c r="D69" s="47" t="s">
        <v>79</v>
      </c>
      <c r="F69" s="40">
        <f t="shared" si="3"/>
      </c>
      <c r="G69" s="41">
        <v>0</v>
      </c>
      <c r="I69" s="51" t="s">
        <v>80</v>
      </c>
    </row>
    <row r="70" spans="4:9" ht="15" customHeight="1">
      <c r="D70" s="52" t="s">
        <v>81</v>
      </c>
      <c r="F70" s="40">
        <f t="shared" si="3"/>
      </c>
      <c r="G70" s="41">
        <v>0</v>
      </c>
      <c r="I70" s="51" t="s">
        <v>82</v>
      </c>
    </row>
    <row r="71" spans="4:9" ht="15" customHeight="1">
      <c r="D71" s="52" t="s">
        <v>83</v>
      </c>
      <c r="F71" s="40">
        <f t="shared" si="3"/>
      </c>
      <c r="G71" s="41">
        <v>0</v>
      </c>
      <c r="I71" s="51"/>
    </row>
    <row r="72" spans="4:9" ht="15" customHeight="1">
      <c r="D72" s="47" t="s">
        <v>84</v>
      </c>
      <c r="F72" s="40">
        <f t="shared" si="3"/>
      </c>
      <c r="G72" s="41">
        <v>0</v>
      </c>
      <c r="I72" s="38" t="s">
        <v>85</v>
      </c>
    </row>
    <row r="73" spans="4:9" ht="12.75" customHeight="1">
      <c r="D73" s="47"/>
      <c r="F73" s="37"/>
      <c r="G73" s="38"/>
      <c r="I73" s="38"/>
    </row>
    <row r="74" spans="3:9" ht="12.75" customHeight="1">
      <c r="C74" s="53" t="s">
        <v>86</v>
      </c>
      <c r="F74" s="37"/>
      <c r="G74" s="38"/>
      <c r="I74" s="38"/>
    </row>
    <row r="75" spans="4:9" ht="15" customHeight="1">
      <c r="D75" s="47" t="s">
        <v>87</v>
      </c>
      <c r="F75" s="40">
        <f>IF(G75&gt;0,"estimated","")</f>
      </c>
      <c r="G75" s="41">
        <v>0</v>
      </c>
      <c r="I75" s="38" t="s">
        <v>88</v>
      </c>
    </row>
    <row r="76" spans="4:9" ht="15" customHeight="1">
      <c r="D76" s="47" t="s">
        <v>89</v>
      </c>
      <c r="F76" s="40">
        <f>IF(G76&gt;0,"estimated","")</f>
      </c>
      <c r="G76" s="41">
        <v>0</v>
      </c>
      <c r="I76" s="38" t="s">
        <v>90</v>
      </c>
    </row>
    <row r="77" spans="4:9" ht="15" customHeight="1">
      <c r="D77" s="47" t="s">
        <v>91</v>
      </c>
      <c r="F77" s="40">
        <f>IF(G77&gt;0,"estimated","")</f>
      </c>
      <c r="G77" s="41">
        <v>0</v>
      </c>
      <c r="I77" s="38" t="s">
        <v>92</v>
      </c>
    </row>
    <row r="78" spans="4:8" ht="12.75" customHeight="1">
      <c r="D78" s="47"/>
      <c r="F78" s="37"/>
      <c r="G78" s="38"/>
      <c r="H78" s="38"/>
    </row>
    <row r="79" spans="6:8" ht="12.75" customHeight="1">
      <c r="F79" s="42" t="s">
        <v>93</v>
      </c>
      <c r="G79" s="43">
        <f>SUM(G64:G78)</f>
        <v>0</v>
      </c>
      <c r="H79" s="38"/>
    </row>
    <row r="80" spans="4:8" ht="12.75" customHeight="1">
      <c r="D80" s="37"/>
      <c r="E80" s="37"/>
      <c r="F80" s="37"/>
      <c r="G80" s="38"/>
      <c r="H80" s="38"/>
    </row>
    <row r="81" spans="4:8" ht="12.75" customHeight="1">
      <c r="D81" s="37"/>
      <c r="E81" s="37"/>
      <c r="F81" s="37"/>
      <c r="G81" s="38"/>
      <c r="H81" s="38"/>
    </row>
    <row r="84" spans="5:9" ht="12.75" customHeight="1">
      <c r="E84" s="37"/>
      <c r="F84" s="54" t="s">
        <v>94</v>
      </c>
      <c r="G84" s="55">
        <f>G54-G79</f>
        <v>101000</v>
      </c>
      <c r="I84" s="2" t="s">
        <v>95</v>
      </c>
    </row>
  </sheetData>
  <sheetProtection sheet="1"/>
  <mergeCells count="1">
    <mergeCell ref="E9:H9"/>
  </mergeCells>
  <dataValidations count="1">
    <dataValidation type="list" operator="equal" allowBlank="1" showErrorMessage="1" sqref="F26:F32 F52 F64 H65:H66 F67:F72 F75:F77">
      <formula1>estimatedOrActual</formula1>
    </dataValidation>
  </dataValidations>
  <hyperlinks>
    <hyperlink ref="K5" r:id="rId1" display="rrfinance@lists.riseup.net"/>
    <hyperlink ref="O5" r:id="rId2" display="www.radicalroutes.org.uk"/>
    <hyperlink ref="K17" r:id="rId3" display="lha-direct.voa.gov.uk"/>
    <hyperlink ref="O66" r:id="rId4" display="www.hmrc.gov.uk/sdlt/rates-thresholds.htm"/>
  </hyperlinks>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6"/>
</worksheet>
</file>

<file path=xl/worksheets/sheet2.xml><?xml version="1.0" encoding="utf-8"?>
<worksheet xmlns="http://schemas.openxmlformats.org/spreadsheetml/2006/main" xmlns:r="http://schemas.openxmlformats.org/officeDocument/2006/relationships">
  <dimension ref="A1:CN124"/>
  <sheetViews>
    <sheetView zoomScalePageLayoutView="0" workbookViewId="0" topLeftCell="E1">
      <selection activeCell="S12" sqref="S12"/>
    </sheetView>
  </sheetViews>
  <sheetFormatPr defaultColWidth="9.140625" defaultRowHeight="12.75" customHeight="1"/>
  <cols>
    <col min="1" max="1" width="5.421875" style="56" customWidth="1"/>
    <col min="2" max="2" width="1.1484375" style="56" customWidth="1"/>
    <col min="3" max="3" width="3.00390625" style="56" customWidth="1"/>
    <col min="4" max="4" width="18.140625" style="57" customWidth="1"/>
    <col min="5" max="5" width="12.7109375" style="58" customWidth="1"/>
    <col min="6" max="6" width="50.57421875" style="56" customWidth="1"/>
    <col min="7" max="7" width="15.7109375" style="59" customWidth="1"/>
    <col min="8" max="8" width="10.7109375" style="60" customWidth="1"/>
    <col min="9" max="9" width="10.7109375" style="61" customWidth="1"/>
    <col min="10" max="10" width="15.8515625" style="61" customWidth="1"/>
    <col min="11" max="11" width="14.00390625" style="59" customWidth="1"/>
    <col min="12" max="13" width="13.57421875" style="59" customWidth="1"/>
    <col min="14" max="14" width="3.421875" style="56" customWidth="1"/>
    <col min="15" max="15" width="1.28515625" style="56" customWidth="1"/>
    <col min="16" max="16" width="9.140625" style="56" customWidth="1"/>
    <col min="17" max="17" width="11.421875" style="56" customWidth="1"/>
    <col min="18" max="18" width="35.421875" style="56" customWidth="1"/>
    <col min="19" max="64" width="12.421875" style="56" customWidth="1"/>
    <col min="65" max="16384" width="9.140625" style="56" customWidth="1"/>
  </cols>
  <sheetData>
    <row r="1" spans="2:4" ht="34.5" customHeight="1">
      <c r="B1" s="552" t="s">
        <v>96</v>
      </c>
      <c r="C1" s="552"/>
      <c r="D1" s="552"/>
    </row>
    <row r="2" ht="14.25" customHeight="1">
      <c r="A2" s="62"/>
    </row>
    <row r="3" spans="2:15" ht="6" customHeight="1">
      <c r="B3" s="63"/>
      <c r="C3" s="63"/>
      <c r="D3" s="64"/>
      <c r="E3" s="65"/>
      <c r="F3" s="63"/>
      <c r="G3" s="66"/>
      <c r="H3" s="67"/>
      <c r="I3" s="68"/>
      <c r="J3" s="68"/>
      <c r="K3" s="66"/>
      <c r="L3" s="66"/>
      <c r="M3" s="66"/>
      <c r="N3" s="63"/>
      <c r="O3" s="63"/>
    </row>
    <row r="4" spans="2:15" ht="18" customHeight="1">
      <c r="B4" s="63"/>
      <c r="D4" s="69" t="s">
        <v>97</v>
      </c>
      <c r="O4" s="63"/>
    </row>
    <row r="5" spans="2:64" ht="15.75" customHeight="1">
      <c r="B5" s="63"/>
      <c r="D5" s="70"/>
      <c r="O5" s="63"/>
      <c r="R5" s="71" t="s">
        <v>98</v>
      </c>
      <c r="S5" s="57">
        <v>1</v>
      </c>
      <c r="T5" s="57">
        <f aca="true" t="shared" si="0" ref="T5:BL5">S5+1</f>
        <v>2</v>
      </c>
      <c r="U5" s="57">
        <f t="shared" si="0"/>
        <v>3</v>
      </c>
      <c r="V5" s="57">
        <f t="shared" si="0"/>
        <v>4</v>
      </c>
      <c r="W5" s="57">
        <f t="shared" si="0"/>
        <v>5</v>
      </c>
      <c r="X5" s="57">
        <f t="shared" si="0"/>
        <v>6</v>
      </c>
      <c r="Y5" s="57">
        <f t="shared" si="0"/>
        <v>7</v>
      </c>
      <c r="Z5" s="57">
        <f t="shared" si="0"/>
        <v>8</v>
      </c>
      <c r="AA5" s="57">
        <f t="shared" si="0"/>
        <v>9</v>
      </c>
      <c r="AB5" s="57">
        <f t="shared" si="0"/>
        <v>10</v>
      </c>
      <c r="AC5" s="57">
        <f t="shared" si="0"/>
        <v>11</v>
      </c>
      <c r="AD5" s="57">
        <f t="shared" si="0"/>
        <v>12</v>
      </c>
      <c r="AE5" s="57">
        <f t="shared" si="0"/>
        <v>13</v>
      </c>
      <c r="AF5" s="57">
        <f t="shared" si="0"/>
        <v>14</v>
      </c>
      <c r="AG5" s="57">
        <f t="shared" si="0"/>
        <v>15</v>
      </c>
      <c r="AH5" s="57">
        <f t="shared" si="0"/>
        <v>16</v>
      </c>
      <c r="AI5" s="57">
        <f t="shared" si="0"/>
        <v>17</v>
      </c>
      <c r="AJ5" s="57">
        <f t="shared" si="0"/>
        <v>18</v>
      </c>
      <c r="AK5" s="57">
        <f t="shared" si="0"/>
        <v>19</v>
      </c>
      <c r="AL5" s="57">
        <f t="shared" si="0"/>
        <v>20</v>
      </c>
      <c r="AM5" s="57">
        <f t="shared" si="0"/>
        <v>21</v>
      </c>
      <c r="AN5" s="57">
        <f t="shared" si="0"/>
        <v>22</v>
      </c>
      <c r="AO5" s="57">
        <f t="shared" si="0"/>
        <v>23</v>
      </c>
      <c r="AP5" s="57">
        <f t="shared" si="0"/>
        <v>24</v>
      </c>
      <c r="AQ5" s="57">
        <f t="shared" si="0"/>
        <v>25</v>
      </c>
      <c r="AR5" s="57">
        <f t="shared" si="0"/>
        <v>26</v>
      </c>
      <c r="AS5" s="57">
        <f t="shared" si="0"/>
        <v>27</v>
      </c>
      <c r="AT5" s="57">
        <f t="shared" si="0"/>
        <v>28</v>
      </c>
      <c r="AU5" s="57">
        <f t="shared" si="0"/>
        <v>29</v>
      </c>
      <c r="AV5" s="57">
        <f t="shared" si="0"/>
        <v>30</v>
      </c>
      <c r="AW5" s="57">
        <f t="shared" si="0"/>
        <v>31</v>
      </c>
      <c r="AX5" s="57">
        <f t="shared" si="0"/>
        <v>32</v>
      </c>
      <c r="AY5" s="57">
        <f t="shared" si="0"/>
        <v>33</v>
      </c>
      <c r="AZ5" s="57">
        <f t="shared" si="0"/>
        <v>34</v>
      </c>
      <c r="BA5" s="57">
        <f t="shared" si="0"/>
        <v>35</v>
      </c>
      <c r="BB5" s="57">
        <f t="shared" si="0"/>
        <v>36</v>
      </c>
      <c r="BC5" s="57">
        <f t="shared" si="0"/>
        <v>37</v>
      </c>
      <c r="BD5" s="57">
        <f t="shared" si="0"/>
        <v>38</v>
      </c>
      <c r="BE5" s="57">
        <f t="shared" si="0"/>
        <v>39</v>
      </c>
      <c r="BF5" s="57">
        <f t="shared" si="0"/>
        <v>40</v>
      </c>
      <c r="BG5" s="57">
        <f t="shared" si="0"/>
        <v>41</v>
      </c>
      <c r="BH5" s="57">
        <f t="shared" si="0"/>
        <v>42</v>
      </c>
      <c r="BI5" s="57">
        <f t="shared" si="0"/>
        <v>43</v>
      </c>
      <c r="BJ5" s="57">
        <f t="shared" si="0"/>
        <v>44</v>
      </c>
      <c r="BK5" s="57">
        <f t="shared" si="0"/>
        <v>45</v>
      </c>
      <c r="BL5" s="57">
        <f t="shared" si="0"/>
        <v>46</v>
      </c>
    </row>
    <row r="6" spans="2:64" ht="48" customHeight="1">
      <c r="B6" s="63"/>
      <c r="E6" s="72" t="s">
        <v>99</v>
      </c>
      <c r="F6" s="73" t="s">
        <v>100</v>
      </c>
      <c r="G6" s="74" t="s">
        <v>101</v>
      </c>
      <c r="H6" s="75" t="s">
        <v>102</v>
      </c>
      <c r="I6" s="73" t="s">
        <v>103</v>
      </c>
      <c r="J6" s="73" t="s">
        <v>104</v>
      </c>
      <c r="K6" s="74" t="s">
        <v>105</v>
      </c>
      <c r="L6" s="74" t="s">
        <v>106</v>
      </c>
      <c r="M6" s="74" t="s">
        <v>107</v>
      </c>
      <c r="O6" s="63"/>
      <c r="Q6" s="76"/>
      <c r="R6" s="76" t="s">
        <v>108</v>
      </c>
      <c r="S6" s="77"/>
      <c r="T6" s="77">
        <f>'40 Year Breakdown'!E9</f>
        <v>0</v>
      </c>
      <c r="U6" s="77">
        <f>'40 Year Breakdown'!F9</f>
        <v>0</v>
      </c>
      <c r="V6" s="77">
        <f>'40 Year Breakdown'!G9</f>
        <v>0</v>
      </c>
      <c r="W6" s="77">
        <f>'40 Year Breakdown'!H9</f>
        <v>0</v>
      </c>
      <c r="X6" s="77">
        <f>'40 Year Breakdown'!I9</f>
        <v>0</v>
      </c>
      <c r="Y6" s="77">
        <f>'40 Year Breakdown'!J9</f>
        <v>0</v>
      </c>
      <c r="Z6" s="77">
        <f>'40 Year Breakdown'!K9</f>
        <v>0</v>
      </c>
      <c r="AA6" s="77">
        <f>'40 Year Breakdown'!L9</f>
        <v>0</v>
      </c>
      <c r="AB6" s="77">
        <f>'40 Year Breakdown'!M9</f>
        <v>0</v>
      </c>
      <c r="AC6" s="77">
        <f>'40 Year Breakdown'!N9</f>
        <v>0</v>
      </c>
      <c r="AD6" s="77">
        <f>'40 Year Breakdown'!O9</f>
        <v>0</v>
      </c>
      <c r="AE6" s="77">
        <f>'40 Year Breakdown'!P9</f>
        <v>0</v>
      </c>
      <c r="AF6" s="77">
        <f>'40 Year Breakdown'!Q9</f>
        <v>0</v>
      </c>
      <c r="AG6" s="77">
        <f>'40 Year Breakdown'!R9</f>
        <v>0</v>
      </c>
      <c r="AH6" s="77">
        <f>'40 Year Breakdown'!S9</f>
        <v>0</v>
      </c>
      <c r="AI6" s="77">
        <f>'40 Year Breakdown'!T9</f>
        <v>0</v>
      </c>
      <c r="AJ6" s="77">
        <f>'40 Year Breakdown'!U9</f>
        <v>0</v>
      </c>
      <c r="AK6" s="77">
        <f>'40 Year Breakdown'!V9</f>
        <v>0</v>
      </c>
      <c r="AL6" s="77">
        <f>'40 Year Breakdown'!W9</f>
        <v>0</v>
      </c>
      <c r="AM6" s="77">
        <f>'40 Year Breakdown'!X9</f>
        <v>0</v>
      </c>
      <c r="AN6" s="77">
        <f>'40 Year Breakdown'!Y9</f>
        <v>0</v>
      </c>
      <c r="AO6" s="77">
        <f>'40 Year Breakdown'!Z9</f>
        <v>0</v>
      </c>
      <c r="AP6" s="77">
        <f>'40 Year Breakdown'!AA9</f>
        <v>0</v>
      </c>
      <c r="AQ6" s="77">
        <f>'40 Year Breakdown'!AB9</f>
        <v>0</v>
      </c>
      <c r="AR6" s="77">
        <f>'40 Year Breakdown'!AC9</f>
        <v>0</v>
      </c>
      <c r="AS6" s="77">
        <f>'40 Year Breakdown'!AD9</f>
        <v>0</v>
      </c>
      <c r="AT6" s="77">
        <f>'40 Year Breakdown'!AE9</f>
        <v>0</v>
      </c>
      <c r="AU6" s="77">
        <f>'40 Year Breakdown'!AF9</f>
        <v>0</v>
      </c>
      <c r="AV6" s="77">
        <f>'40 Year Breakdown'!AG9</f>
        <v>0</v>
      </c>
      <c r="AW6" s="77">
        <f>'40 Year Breakdown'!AH9</f>
        <v>0</v>
      </c>
      <c r="AX6" s="77">
        <f>'40 Year Breakdown'!AI9</f>
        <v>0</v>
      </c>
      <c r="AY6" s="77">
        <f>'40 Year Breakdown'!AJ9</f>
        <v>0</v>
      </c>
      <c r="AZ6" s="77">
        <f>'40 Year Breakdown'!AK9</f>
        <v>0</v>
      </c>
      <c r="BA6" s="77">
        <f>'40 Year Breakdown'!AL9</f>
        <v>0</v>
      </c>
      <c r="BB6" s="77">
        <f>'40 Year Breakdown'!AM9</f>
        <v>0</v>
      </c>
      <c r="BC6" s="77">
        <f>'40 Year Breakdown'!AN9</f>
        <v>0</v>
      </c>
      <c r="BD6" s="77">
        <f>'40 Year Breakdown'!AO9</f>
        <v>0</v>
      </c>
      <c r="BE6" s="77">
        <f>'40 Year Breakdown'!AP9</f>
        <v>0</v>
      </c>
      <c r="BF6" s="77">
        <f>'40 Year Breakdown'!AQ9</f>
        <v>0</v>
      </c>
      <c r="BG6" s="77">
        <f>'40 Year Breakdown'!AR9</f>
        <v>0</v>
      </c>
      <c r="BH6" s="77">
        <f>'40 Year Breakdown'!AS9</f>
        <v>0</v>
      </c>
      <c r="BI6" s="77">
        <f>'40 Year Breakdown'!AT9</f>
        <v>0</v>
      </c>
      <c r="BJ6" s="77">
        <f>'40 Year Breakdown'!AU9</f>
        <v>0</v>
      </c>
      <c r="BK6" s="77">
        <f>'40 Year Breakdown'!AV9</f>
        <v>0</v>
      </c>
      <c r="BL6" s="77">
        <f>'40 Year Breakdown'!AW9</f>
        <v>0</v>
      </c>
    </row>
    <row r="7" spans="2:15" ht="12.75" customHeight="1">
      <c r="B7" s="63"/>
      <c r="E7" s="78"/>
      <c r="F7" s="37"/>
      <c r="G7" s="38"/>
      <c r="H7" s="79"/>
      <c r="I7" s="80"/>
      <c r="J7" s="80"/>
      <c r="K7" s="38"/>
      <c r="L7" s="38"/>
      <c r="M7" s="38"/>
      <c r="N7" s="37"/>
      <c r="O7" s="63"/>
    </row>
    <row r="8" spans="2:64" ht="15" customHeight="1">
      <c r="B8" s="63"/>
      <c r="D8" s="57" t="s">
        <v>109</v>
      </c>
      <c r="E8" s="81">
        <v>30</v>
      </c>
      <c r="F8" s="82" t="s">
        <v>110</v>
      </c>
      <c r="G8" s="41">
        <v>100000</v>
      </c>
      <c r="H8" s="83">
        <v>0.0575</v>
      </c>
      <c r="I8" s="84" t="s">
        <v>111</v>
      </c>
      <c r="J8" s="85" t="s">
        <v>112</v>
      </c>
      <c r="K8" s="59">
        <f>IF(E8&gt;0,PMT(H8/12,E8*12,G8)*-1,0)</f>
        <v>583.572856443553</v>
      </c>
      <c r="L8" s="38">
        <f>K8*12</f>
        <v>7002.874277322635</v>
      </c>
      <c r="M8" s="38">
        <f>K8*12*E8</f>
        <v>210086.22831967904</v>
      </c>
      <c r="N8" s="37"/>
      <c r="O8" s="63"/>
      <c r="Q8" s="58"/>
      <c r="R8" s="56" t="s">
        <v>113</v>
      </c>
      <c r="S8" s="86">
        <f>IF(E8&gt;0,PMT(H8/12,($E8+1-S$5)*12,G8),0)</f>
        <v>-583.572856443553</v>
      </c>
      <c r="T8" s="86">
        <f>IF($I8="fixed",IF($E8-T$5&gt;=0,-1*$K8,0),IF($E8-S$5&gt;0,PMT(($H8+T$6)/12,($E8+1-T$5)*12,(PV(($H8+S$6)/12,($E8-S$5)*12,S8))),0))</f>
        <v>-583.572856443554</v>
      </c>
      <c r="U8" s="86">
        <f>IF($I8="fixed",IF($E8-U$5&gt;=0,-1*$K8,0),IF($E8-T$5&gt;0,PMT(($H8+U$6)/12,($E8+1-U$5)*12,(PV(($H8+T$6)/12,($E8-T$5)*12,T8))),0))</f>
        <v>-583.5728564435551</v>
      </c>
      <c r="V8" s="86">
        <f>IF($I8="fixed",IF($E8-V$5&gt;=0,-1*$K8,0),IF($E8-U$5&gt;0,PMT(($H8+V$6)/12,($E8+1-V$5)*12,(PV(($H8+U$6)/12,($E8-U$5)*12,U8))),0))</f>
        <v>-583.5728564435562</v>
      </c>
      <c r="W8" s="86">
        <f>IF($I8="fixed",IF($E8-W$5&gt;=0,-1*$K8,0),IF($E8-V$5&gt;0,PMT(($H8+W$6)/12,($E8+1-W$5)*12,(PV(($H8+V$6)/12,($E8-V$5)*12,V8))),0))</f>
        <v>-583.5728564435575</v>
      </c>
      <c r="X8" s="86">
        <f>IF($I8="fixed",IF($E8-X$5&gt;=0,-1*$K8,0),IF($E8-W$5&gt;0,PMT(($H8+X$6)/12,($E8+1-X$5)*12,(PV(($H8+W$6)/12,($E8-W$5)*12,W8))),0))</f>
        <v>-583.5728564435589</v>
      </c>
      <c r="Y8" s="86">
        <f>IF($I8="fixed",IF($E8-Y$5&gt;=0,-1*$K8,0),IF($E8-X$5&gt;0,PMT(($H8+Y$6)/12,($E8+1-Y$5)*12,(PV(($H8+X$6)/12,($E8-X$5)*12,X8))),0))</f>
        <v>-583.5728564435603</v>
      </c>
      <c r="Z8" s="86">
        <f>IF($I8="fixed",IF($E8-Z$5&gt;=0,-1*$K8,0),IF($E8-Y$5&gt;0,PMT(($H8+Z$6)/12,($E8+1-Z$5)*12,(PV(($H8+Y$6)/12,($E8-Y$5)*12,Y8))),0))</f>
        <v>-583.5728564435617</v>
      </c>
      <c r="AA8" s="86">
        <f>IF($I8="fixed",IF($E8-AA$5&gt;=0,-1*$K8,0),IF($E8-Z$5&gt;0,PMT(($H8+AA$6)/12,($E8+1-AA$5)*12,(PV(($H8+Z$6)/12,($E8-Z$5)*12,Z8))),0))</f>
        <v>-583.5728564435631</v>
      </c>
      <c r="AB8" s="86">
        <f>IF($I8="fixed",IF($E8-AB$5&gt;=0,-1*$K8,0),IF($E8-AA$5&gt;0,PMT(($H8+AB$6)/12,($E8+1-AB$5)*12,(PV(($H8+AA$6)/12,($E8-AA$5)*12,AA8))),0))</f>
        <v>-583.5728564435645</v>
      </c>
      <c r="AC8" s="86">
        <f>IF($I8="fixed",IF($E8-AC$5&gt;=0,-1*$K8,0),IF($E8-AB$5&gt;0,PMT(($H8+AC$6)/12,($E8+1-AC$5)*12,(PV(($H8+AB$6)/12,($E8-AB$5)*12,AB8))),0))</f>
        <v>-583.572856443566</v>
      </c>
      <c r="AD8" s="86">
        <f>IF($I8="fixed",IF($E8-AD$5&gt;=0,-1*$K8,0),IF($E8-AC$5&gt;0,PMT(($H8+AD$6)/12,($E8+1-AD$5)*12,(PV(($H8+AC$6)/12,($E8-AC$5)*12,AC8))),0))</f>
        <v>-583.5728564435676</v>
      </c>
      <c r="AE8" s="86">
        <f>IF($I8="fixed",IF($E8-AE$5&gt;=0,-1*$K8,0),IF($E8-AD$5&gt;0,PMT(($H8+AE$6)/12,($E8+1-AE$5)*12,(PV(($H8+AD$6)/12,($E8-AD$5)*12,AD8))),0))</f>
        <v>-583.5728564435692</v>
      </c>
      <c r="AF8" s="86">
        <f>IF($I8="fixed",IF($E8-AF$5&gt;=0,-1*$K8,0),IF($E8-AE$5&gt;0,PMT(($H8+AF$6)/12,($E8+1-AF$5)*12,(PV(($H8+AE$6)/12,($E8-AE$5)*12,AE8))),0))</f>
        <v>-583.5728564435708</v>
      </c>
      <c r="AG8" s="86">
        <f>IF($I8="fixed",IF($E8-AG$5&gt;=0,-1*$K8,0),IF($E8-AF$5&gt;0,PMT(($H8+AG$6)/12,($E8+1-AG$5)*12,(PV(($H8+AF$6)/12,($E8-AF$5)*12,AF8))),0))</f>
        <v>-583.5728564435725</v>
      </c>
      <c r="AH8" s="86">
        <f>IF($I8="fixed",IF($E8-AH$5&gt;=0,-1*$K8,0),IF($E8-AG$5&gt;0,PMT(($H8+AH$6)/12,($E8+1-AH$5)*12,(PV(($H8+AG$6)/12,($E8-AG$5)*12,AG8))),0))</f>
        <v>-583.5728564435743</v>
      </c>
      <c r="AI8" s="86">
        <f>IF($I8="fixed",IF($E8-AI$5&gt;=0,-1*$K8,0),IF($E8-AH$5&gt;0,PMT(($H8+AI$6)/12,($E8+1-AI$5)*12,(PV(($H8+AH$6)/12,($E8-AH$5)*12,AH8))),0))</f>
        <v>-583.5728564435763</v>
      </c>
      <c r="AJ8" s="86">
        <f>IF($I8="fixed",IF($E8-AJ$5&gt;=0,-1*$K8,0),IF($E8-AI$5&gt;0,PMT(($H8+AJ$6)/12,($E8+1-AJ$5)*12,(PV(($H8+AI$6)/12,($E8-AI$5)*12,AI8))),0))</f>
        <v>-583.5728564435781</v>
      </c>
      <c r="AK8" s="86">
        <f>IF($I8="fixed",IF($E8-AK$5&gt;=0,-1*$K8,0),IF($E8-AJ$5&gt;0,PMT(($H8+AK$6)/12,($E8+1-AK$5)*12,(PV(($H8+AJ$6)/12,($E8-AJ$5)*12,AJ8))),0))</f>
        <v>-583.5728564435801</v>
      </c>
      <c r="AL8" s="86">
        <f>IF($I8="fixed",IF($E8-AL$5&gt;=0,-1*$K8,0),IF($E8-AK$5&gt;0,PMT(($H8+AL$6)/12,($E8+1-AL$5)*12,(PV(($H8+AK$6)/12,($E8-AK$5)*12,AK8))),0))</f>
        <v>-583.5728564435823</v>
      </c>
      <c r="AM8" s="86">
        <f>IF($I8="fixed",IF($E8-AM$5&gt;=0,-1*$K8,0),IF($E8-AL$5&gt;0,PMT(($H8+AM$6)/12,($E8+1-AM$5)*12,(PV(($H8+AL$6)/12,($E8-AL$5)*12,AL8))),0))</f>
        <v>-583.5728564435843</v>
      </c>
      <c r="AN8" s="86">
        <f>IF($I8="fixed",IF($E8-AN$5&gt;=0,-1*$K8,0),IF($E8-AM$5&gt;0,PMT(($H8+AN$6)/12,($E8+1-AN$5)*12,(PV(($H8+AM$6)/12,($E8-AM$5)*12,AM8))),0))</f>
        <v>-583.5728564435866</v>
      </c>
      <c r="AO8" s="86">
        <f>IF($I8="fixed",IF($E8-AO$5&gt;=0,-1*$K8,0),IF($E8-AN$5&gt;0,PMT(($H8+AO$6)/12,($E8+1-AO$5)*12,(PV(($H8+AN$6)/12,($E8-AN$5)*12,AN8))),0))</f>
        <v>-583.572856443589</v>
      </c>
      <c r="AP8" s="86">
        <f>IF($I8="fixed",IF($E8-AP$5&gt;=0,-1*$K8,0),IF($E8-AO$5&gt;0,PMT(($H8+AP$6)/12,($E8+1-AP$5)*12,(PV(($H8+AO$6)/12,($E8-AO$5)*12,AO8))),0))</f>
        <v>-583.5728564435913</v>
      </c>
      <c r="AQ8" s="86">
        <f>IF($I8="fixed",IF($E8-AQ$5&gt;=0,-1*$K8,0),IF($E8-AP$5&gt;0,PMT(($H8+AQ$6)/12,($E8+1-AQ$5)*12,(PV(($H8+AP$6)/12,($E8-AP$5)*12,AP8))),0))</f>
        <v>-583.5728564435937</v>
      </c>
      <c r="AR8" s="86">
        <f>IF($I8="fixed",IF($E8-AR$5&gt;=0,-1*$K8,0),IF($E8-AQ$5&gt;0,PMT(($H8+AR$6)/12,($E8+1-AR$5)*12,(PV(($H8+AQ$6)/12,($E8-AQ$5)*12,AQ8))),0))</f>
        <v>-583.572856443596</v>
      </c>
      <c r="AS8" s="86">
        <f>IF($I8="fixed",IF($E8-AS$5&gt;=0,-1*$K8,0),IF($E8-AR$5&gt;0,PMT(($H8+AS$6)/12,($E8+1-AS$5)*12,(PV(($H8+AR$6)/12,($E8-AR$5)*12,AR8))),0))</f>
        <v>-583.5728564435985</v>
      </c>
      <c r="AT8" s="86">
        <f>IF($I8="fixed",IF($E8-AT$5&gt;=0,-1*$K8,0),IF($E8-AS$5&gt;0,PMT(($H8+AT$6)/12,($E8+1-AT$5)*12,(PV(($H8+AS$6)/12,($E8-AS$5)*12,AS8))),0))</f>
        <v>-583.5728564436012</v>
      </c>
      <c r="AU8" s="86">
        <f>IF($I8="fixed",IF($E8-AU$5&gt;=0,-1*$K8,0),IF($E8-AT$5&gt;0,PMT(($H8+AU$6)/12,($E8+1-AU$5)*12,(PV(($H8+AT$6)/12,($E8-AT$5)*12,AT8))),0))</f>
        <v>-583.5728564436041</v>
      </c>
      <c r="AV8" s="86">
        <f>IF($I8="fixed",IF($E8-AV$5&gt;=0,-1*$K8,0),IF($E8-AU$5&gt;0,PMT(($H8+AV$6)/12,($E8+1-AV$5)*12,(PV(($H8+AU$6)/12,($E8-AU$5)*12,AU8))),0))</f>
        <v>-583.5728564436074</v>
      </c>
      <c r="AW8" s="86">
        <f>IF($I8="fixed",IF($E8-AW$5&gt;=0,-1*$K8,0),IF($E8-AV$5&gt;0,PMT(($H8+AW$6)/12,($E8+1-AW$5)*12,(PV(($H8+AV$6)/12,($E8-AV$5)*12,AV8))),0))</f>
        <v>0</v>
      </c>
      <c r="AX8" s="86">
        <f>IF($I8="fixed",IF($E8-AX$5&gt;=0,-1*$K8,0),IF($E8-AW$5&gt;0,PMT(($H8+AX$6)/12,($E8+1-AX$5)*12,(PV(($H8+AW$6)/12,($E8-AW$5)*12,AW8))),0))</f>
        <v>0</v>
      </c>
      <c r="AY8" s="86">
        <f>IF($I8="fixed",IF($E8-AY$5&gt;=0,-1*$K8,0),IF($E8-AX$5&gt;0,PMT(($H8+AY$6)/12,($E8+1-AY$5)*12,(PV(($H8+AX$6)/12,($E8-AX$5)*12,AX8))),0))</f>
        <v>0</v>
      </c>
      <c r="AZ8" s="86">
        <f>IF($I8="fixed",IF($E8-AZ$5&gt;=0,-1*$K8,0),IF($E8-AY$5&gt;0,PMT(($H8+AZ$6)/12,($E8+1-AZ$5)*12,(PV(($H8+AY$6)/12,($E8-AY$5)*12,AY8))),0))</f>
        <v>0</v>
      </c>
      <c r="BA8" s="86">
        <f>IF($I8="fixed",IF($E8-BA$5&gt;=0,-1*$K8,0),IF($E8-AZ$5&gt;0,PMT(($H8+BA$6)/12,($E8+1-BA$5)*12,(PV(($H8+AZ$6)/12,($E8-AZ$5)*12,AZ8))),0))</f>
        <v>0</v>
      </c>
      <c r="BB8" s="86">
        <f>IF($I8="fixed",IF($E8-BB$5&gt;=0,-1*$K8,0),IF($E8-BA$5&gt;0,PMT(($H8+BB$6)/12,($E8+1-BB$5)*12,(PV(($H8+BA$6)/12,($E8-BA$5)*12,BA8))),0))</f>
        <v>0</v>
      </c>
      <c r="BC8" s="86">
        <f>IF($I8="fixed",IF($E8-BC$5&gt;=0,-1*$K8,0),IF($E8-BB$5&gt;0,PMT(($H8+BC$6)/12,($E8+1-BC$5)*12,(PV(($H8+BB$6)/12,($E8-BB$5)*12,BB8))),0))</f>
        <v>0</v>
      </c>
      <c r="BD8" s="86">
        <f>IF($I8="fixed",IF($E8-BD$5&gt;=0,-1*$K8,0),IF($E8-BC$5&gt;0,PMT(($H8+BD$6)/12,($E8+1-BD$5)*12,(PV(($H8+BC$6)/12,($E8-BC$5)*12,BC8))),0))</f>
        <v>0</v>
      </c>
      <c r="BE8" s="86">
        <f>IF($I8="fixed",IF($E8-BE$5&gt;=0,-1*$K8,0),IF($E8-BD$5&gt;0,PMT(($H8+BE$6)/12,($E8+1-BE$5)*12,(PV(($H8+BD$6)/12,($E8-BD$5)*12,BD8))),0))</f>
        <v>0</v>
      </c>
      <c r="BF8" s="86">
        <f>IF($I8="fixed",IF($E8-BF$5&gt;=0,-1*$K8,0),IF($E8-BE$5&gt;0,PMT(($H8+BF$6)/12,($E8+1-BF$5)*12,(PV(($H8+BE$6)/12,($E8-BE$5)*12,BE8))),0))</f>
        <v>0</v>
      </c>
      <c r="BG8" s="86">
        <f>IF($I8="fixed",IF($E8-BG$5&gt;=0,-1*$K8,0),IF($E8-BF$5&gt;0,PMT(($H8+BG$6)/12,($E8+1-BG$5)*12,(PV(($H8+BF$6)/12,($E8-BF$5)*12,BF8))),0))</f>
        <v>0</v>
      </c>
      <c r="BH8" s="86">
        <f>IF($I8="fixed",IF($E8-BH$5&gt;=0,-1*$K8,0),IF($E8-BG$5&gt;0,PMT(($H8+BH$6)/12,($E8+1-BH$5)*12,(PV(($H8+BG$6)/12,($E8-BG$5)*12,BG8))),0))</f>
        <v>0</v>
      </c>
      <c r="BI8" s="86">
        <f>IF($I8="fixed",IF($E8-BI$5&gt;=0,-1*$K8,0),IF($E8-BH$5&gt;0,PMT(($H8+BI$6)/12,($E8+1-BI$5)*12,(PV(($H8+BH$6)/12,($E8-BH$5)*12,BH8))),0))</f>
        <v>0</v>
      </c>
      <c r="BJ8" s="86">
        <f>IF($I8="fixed",IF($E8-BJ$5&gt;=0,-1*$K8,0),IF($E8-BI$5&gt;0,PMT(($H8+BJ$6)/12,($E8+1-BJ$5)*12,(PV(($H8+BI$6)/12,($E8-BI$5)*12,BI8))),0))</f>
        <v>0</v>
      </c>
      <c r="BK8" s="86">
        <f>IF($I8="fixed",IF($E8-BK$5&gt;=0,-1*$K8,0),IF($E8-BJ$5&gt;0,PMT(($H8+BK$6)/12,($E8+1-BK$5)*12,(PV(($H8+BJ$6)/12,($E8-BJ$5)*12,BJ8))),0))</f>
        <v>0</v>
      </c>
      <c r="BL8" s="86">
        <f>IF($I8="fixed",IF($E8-BL$5&gt;=0,-1*$K8,0),IF($E8-BK$5&gt;0,PMT(($H8+BL$6)/12,($E8+1-BL$5)*12,(PV(($H8+BK$6)/12,($E8-BK$5)*12,BK8))),0))</f>
        <v>0</v>
      </c>
    </row>
    <row r="9" spans="2:64" ht="15" customHeight="1">
      <c r="B9" s="63"/>
      <c r="D9" s="57" t="s">
        <v>114</v>
      </c>
      <c r="E9" s="81">
        <v>15</v>
      </c>
      <c r="F9" s="87" t="s">
        <v>115</v>
      </c>
      <c r="G9" s="41"/>
      <c r="H9" s="83">
        <v>0.06</v>
      </c>
      <c r="I9" s="84" t="s">
        <v>116</v>
      </c>
      <c r="J9" s="85" t="s">
        <v>112</v>
      </c>
      <c r="K9" s="59">
        <f>IF(E9&gt;0,PMT(H9/12,E9*12,G9)*-1,0)</f>
        <v>0</v>
      </c>
      <c r="L9" s="38">
        <f>K9*12</f>
        <v>0</v>
      </c>
      <c r="M9" s="38">
        <f>K9*12*E9</f>
        <v>0</v>
      </c>
      <c r="N9" s="37"/>
      <c r="O9" s="63"/>
      <c r="Q9" s="58"/>
      <c r="R9" s="56" t="s">
        <v>117</v>
      </c>
      <c r="S9" s="86">
        <f>IF(E9&gt;0,PMT(H9/12,($E9+1-S$5)*12,G9),0)</f>
        <v>0</v>
      </c>
      <c r="T9" s="86">
        <f>IF($I9="fixed",IF($E9-T$5&gt;=0,-1*$K9,0),IF($E9-S$5&gt;0,PMT(($H9+T$6)/12,($E9+1-T$5)*12,(PV(($H9+S$6)/12,($E9-S$5)*12,S9))),0))</f>
        <v>0</v>
      </c>
      <c r="U9" s="86">
        <f>IF($I9="fixed",IF($E9-U$5&gt;=0,-1*$K9,0),IF($E9-T$5&gt;0,PMT(($H9+U$6)/12,($E9+1-U$5)*12,(PV(($H9+T$6)/12,($E9-T$5)*12,T9))),0))</f>
        <v>0</v>
      </c>
      <c r="V9" s="86">
        <f>IF($I9="fixed",IF($E9-V$5&gt;=0,-1*$K9,0),IF($E9-U$5&gt;0,PMT(($H9+V$6)/12,($E9+1-V$5)*12,(PV(($H9+U$6)/12,($E9-U$5)*12,U9))),0))</f>
        <v>0</v>
      </c>
      <c r="W9" s="86">
        <f>IF($I9="fixed",IF($E9-W$5&gt;=0,-1*$K9,0),IF($E9-V$5&gt;0,PMT(($H9+W$6)/12,($E9+1-W$5)*12,(PV(($H9+V$6)/12,($E9-V$5)*12,V9))),0))</f>
        <v>0</v>
      </c>
      <c r="X9" s="86">
        <f>IF($I9="fixed",IF($E9-X$5&gt;=0,-1*$K9,0),IF($E9-W$5&gt;0,PMT(($H9+X$6)/12,($E9+1-X$5)*12,(PV(($H9+W$6)/12,($E9-W$5)*12,W9))),0))</f>
        <v>0</v>
      </c>
      <c r="Y9" s="86">
        <f>IF($I9="fixed",IF($E9-Y$5&gt;=0,-1*$K9,0),IF($E9-X$5&gt;0,PMT(($H9+Y$6)/12,($E9+1-Y$5)*12,(PV(($H9+X$6)/12,($E9-X$5)*12,X9))),0))</f>
        <v>0</v>
      </c>
      <c r="Z9" s="86">
        <f>IF($I9="fixed",IF($E9-Z$5&gt;=0,-1*$K9,0),IF($E9-Y$5&gt;0,PMT(($H9+Z$6)/12,($E9+1-Z$5)*12,(PV(($H9+Y$6)/12,($E9-Y$5)*12,Y9))),0))</f>
        <v>0</v>
      </c>
      <c r="AA9" s="86">
        <f>IF($I9="fixed",IF($E9-AA$5&gt;=0,-1*$K9,0),IF($E9-Z$5&gt;0,PMT(($H9+AA$6)/12,($E9+1-AA$5)*12,(PV(($H9+Z$6)/12,($E9-Z$5)*12,Z9))),0))</f>
        <v>0</v>
      </c>
      <c r="AB9" s="86">
        <f>IF($I9="fixed",IF($E9-AB$5&gt;=0,-1*$K9,0),IF($E9-AA$5&gt;0,PMT(($H9+AB$6)/12,($E9+1-AB$5)*12,(PV(($H9+AA$6)/12,($E9-AA$5)*12,AA9))),0))</f>
        <v>0</v>
      </c>
      <c r="AC9" s="86">
        <f>IF($I9="fixed",IF($E9-AC$5&gt;=0,-1*$K9,0),IF($E9-AB$5&gt;0,PMT(($H9+AC$6)/12,($E9+1-AC$5)*12,(PV(($H9+AB$6)/12,($E9-AB$5)*12,AB9))),0))</f>
        <v>0</v>
      </c>
      <c r="AD9" s="86">
        <f>IF($I9="fixed",IF($E9-AD$5&gt;=0,-1*$K9,0),IF($E9-AC$5&gt;0,PMT(($H9+AD$6)/12,($E9+1-AD$5)*12,(PV(($H9+AC$6)/12,($E9-AC$5)*12,AC9))),0))</f>
        <v>0</v>
      </c>
      <c r="AE9" s="86">
        <f>IF($I9="fixed",IF($E9-AE$5&gt;=0,-1*$K9,0),IF($E9-AD$5&gt;0,PMT(($H9+AE$6)/12,($E9+1-AE$5)*12,(PV(($H9+AD$6)/12,($E9-AD$5)*12,AD9))),0))</f>
        <v>0</v>
      </c>
      <c r="AF9" s="86">
        <f>IF($I9="fixed",IF($E9-AF$5&gt;=0,-1*$K9,0),IF($E9-AE$5&gt;0,PMT(($H9+AF$6)/12,($E9+1-AF$5)*12,(PV(($H9+AE$6)/12,($E9-AE$5)*12,AE9))),0))</f>
        <v>0</v>
      </c>
      <c r="AG9" s="86">
        <f>IF($I9="fixed",IF($E9-AG$5&gt;=0,-1*$K9,0),IF($E9-AF$5&gt;0,PMT(($H9+AG$6)/12,($E9+1-AG$5)*12,(PV(($H9+AF$6)/12,($E9-AF$5)*12,AF9))),0))</f>
        <v>0</v>
      </c>
      <c r="AH9" s="86">
        <f>IF($I9="fixed",IF($E9-AH$5&gt;=0,-1*$K9,0),IF($E9-AG$5&gt;0,PMT(($H9+AH$6)/12,($E9+1-AH$5)*12,(PV(($H9+AG$6)/12,($E9-AG$5)*12,AG9))),0))</f>
        <v>0</v>
      </c>
      <c r="AI9" s="86">
        <f>IF($I9="fixed",IF($E9-AI$5&gt;=0,-1*$K9,0),IF($E9-AH$5&gt;0,PMT(($H9+AI$6)/12,($E9+1-AI$5)*12,(PV(($H9+AH$6)/12,($E9-AH$5)*12,AH9))),0))</f>
        <v>0</v>
      </c>
      <c r="AJ9" s="86">
        <f>IF($I9="fixed",IF($E9-AJ$5&gt;=0,-1*$K9,0),IF($E9-AI$5&gt;0,PMT(($H9+AJ$6)/12,($E9+1-AJ$5)*12,(PV(($H9+AI$6)/12,($E9-AI$5)*12,AI9))),0))</f>
        <v>0</v>
      </c>
      <c r="AK9" s="86">
        <f>IF($I9="fixed",IF($E9-AK$5&gt;=0,-1*$K9,0),IF($E9-AJ$5&gt;0,PMT(($H9+AK$6)/12,($E9+1-AK$5)*12,(PV(($H9+AJ$6)/12,($E9-AJ$5)*12,AJ9))),0))</f>
        <v>0</v>
      </c>
      <c r="AL9" s="86">
        <f>IF($I9="fixed",IF($E9-AL$5&gt;=0,-1*$K9,0),IF($E9-AK$5&gt;0,PMT(($H9+AL$6)/12,($E9+1-AL$5)*12,(PV(($H9+AK$6)/12,($E9-AK$5)*12,AK9))),0))</f>
        <v>0</v>
      </c>
      <c r="AM9" s="86">
        <f>IF($I9="fixed",IF($E9-AM$5&gt;=0,-1*$K9,0),IF($E9-AL$5&gt;0,PMT(($H9+AM$6)/12,($E9+1-AM$5)*12,(PV(($H9+AL$6)/12,($E9-AL$5)*12,AL9))),0))</f>
        <v>0</v>
      </c>
      <c r="AN9" s="86">
        <f>IF($I9="fixed",IF($E9-AN$5&gt;=0,-1*$K9,0),IF($E9-AM$5&gt;0,PMT(($H9+AN$6)/12,($E9+1-AN$5)*12,(PV(($H9+AM$6)/12,($E9-AM$5)*12,AM9))),0))</f>
        <v>0</v>
      </c>
      <c r="AO9" s="86">
        <f>IF($I9="fixed",IF($E9-AO$5&gt;=0,-1*$K9,0),IF($E9-AN$5&gt;0,PMT(($H9+AO$6)/12,($E9+1-AO$5)*12,(PV(($H9+AN$6)/12,($E9-AN$5)*12,AN9))),0))</f>
        <v>0</v>
      </c>
      <c r="AP9" s="86">
        <f>IF($I9="fixed",IF($E9-AP$5&gt;=0,-1*$K9,0),IF($E9-AO$5&gt;0,PMT(($H9+AP$6)/12,($E9+1-AP$5)*12,(PV(($H9+AO$6)/12,($E9-AO$5)*12,AO9))),0))</f>
        <v>0</v>
      </c>
      <c r="AQ9" s="86">
        <f>IF($I9="fixed",IF($E9-AQ$5&gt;=0,-1*$K9,0),IF($E9-AP$5&gt;0,PMT(($H9+AQ$6)/12,($E9+1-AQ$5)*12,(PV(($H9+AP$6)/12,($E9-AP$5)*12,AP9))),0))</f>
        <v>0</v>
      </c>
      <c r="AR9" s="86">
        <f>IF($I9="fixed",IF($E9-AR$5&gt;=0,-1*$K9,0),IF($E9-AQ$5&gt;0,PMT(($H9+AR$6)/12,($E9+1-AR$5)*12,(PV(($H9+AQ$6)/12,($E9-AQ$5)*12,AQ9))),0))</f>
        <v>0</v>
      </c>
      <c r="AS9" s="86">
        <f>IF($I9="fixed",IF($E9-AS$5&gt;=0,-1*$K9,0),IF($E9-AR$5&gt;0,PMT(($H9+AS$6)/12,($E9+1-AS$5)*12,(PV(($H9+AR$6)/12,($E9-AR$5)*12,AR9))),0))</f>
        <v>0</v>
      </c>
      <c r="AT9" s="86">
        <f>IF($I9="fixed",IF($E9-AT$5&gt;=0,-1*$K9,0),IF($E9-AS$5&gt;0,PMT(($H9+AT$6)/12,($E9+1-AT$5)*12,(PV(($H9+AS$6)/12,($E9-AS$5)*12,AS9))),0))</f>
        <v>0</v>
      </c>
      <c r="AU9" s="86">
        <f>IF($I9="fixed",IF($E9-AU$5&gt;=0,-1*$K9,0),IF($E9-AT$5&gt;0,PMT(($H9+AU$6)/12,($E9+1-AU$5)*12,(PV(($H9+AT$6)/12,($E9-AT$5)*12,AT9))),0))</f>
        <v>0</v>
      </c>
      <c r="AV9" s="86">
        <f>IF($I9="fixed",IF($E9-AV$5&gt;=0,-1*$K9,0),IF($E9-AU$5&gt;0,PMT(($H9+AV$6)/12,($E9+1-AV$5)*12,(PV(($H9+AU$6)/12,($E9-AU$5)*12,AU9))),0))</f>
        <v>0</v>
      </c>
      <c r="AW9" s="86">
        <f>IF($I9="fixed",IF($E9-AW$5&gt;=0,-1*$K9,0),IF($E9-AV$5&gt;0,PMT(($H9+AW$6)/12,($E9+1-AW$5)*12,(PV(($H9+AV$6)/12,($E9-AV$5)*12,AV9))),0))</f>
        <v>0</v>
      </c>
      <c r="AX9" s="86">
        <f>IF($I9="fixed",IF($E9-AX$5&gt;=0,-1*$K9,0),IF($E9-AW$5&gt;0,PMT(($H9+AX$6)/12,($E9+1-AX$5)*12,(PV(($H9+AW$6)/12,($E9-AW$5)*12,AW9))),0))</f>
        <v>0</v>
      </c>
      <c r="AY9" s="86">
        <f>IF($I9="fixed",IF($E9-AY$5&gt;=0,-1*$K9,0),IF($E9-AX$5&gt;0,PMT(($H9+AY$6)/12,($E9+1-AY$5)*12,(PV(($H9+AX$6)/12,($E9-AX$5)*12,AX9))),0))</f>
        <v>0</v>
      </c>
      <c r="AZ9" s="86">
        <f>IF($I9="fixed",IF($E9-AZ$5&gt;=0,-1*$K9,0),IF($E9-AY$5&gt;0,PMT(($H9+AZ$6)/12,($E9+1-AZ$5)*12,(PV(($H9+AY$6)/12,($E9-AY$5)*12,AY9))),0))</f>
        <v>0</v>
      </c>
      <c r="BA9" s="86">
        <f>IF($I9="fixed",IF($E9-BA$5&gt;=0,-1*$K9,0),IF($E9-AZ$5&gt;0,PMT(($H9+BA$6)/12,($E9+1-BA$5)*12,(PV(($H9+AZ$6)/12,($E9-AZ$5)*12,AZ9))),0))</f>
        <v>0</v>
      </c>
      <c r="BB9" s="86">
        <f>IF($I9="fixed",IF($E9-BB$5&gt;=0,-1*$K9,0),IF($E9-BA$5&gt;0,PMT(($H9+BB$6)/12,($E9+1-BB$5)*12,(PV(($H9+BA$6)/12,($E9-BA$5)*12,BA9))),0))</f>
        <v>0</v>
      </c>
      <c r="BC9" s="86">
        <f>IF($I9="fixed",IF($E9-BC$5&gt;=0,-1*$K9,0),IF($E9-BB$5&gt;0,PMT(($H9+BC$6)/12,($E9+1-BC$5)*12,(PV(($H9+BB$6)/12,($E9-BB$5)*12,BB9))),0))</f>
        <v>0</v>
      </c>
      <c r="BD9" s="86">
        <f>IF($I9="fixed",IF($E9-BD$5&gt;=0,-1*$K9,0),IF($E9-BC$5&gt;0,PMT(($H9+BD$6)/12,($E9+1-BD$5)*12,(PV(($H9+BC$6)/12,($E9-BC$5)*12,BC9))),0))</f>
        <v>0</v>
      </c>
      <c r="BE9" s="86">
        <f>IF($I9="fixed",IF($E9-BE$5&gt;=0,-1*$K9,0),IF($E9-BD$5&gt;0,PMT(($H9+BE$6)/12,($E9+1-BE$5)*12,(PV(($H9+BD$6)/12,($E9-BD$5)*12,BD9))),0))</f>
        <v>0</v>
      </c>
      <c r="BF9" s="86">
        <f>IF($I9="fixed",IF($E9-BF$5&gt;=0,-1*$K9,0),IF($E9-BE$5&gt;0,PMT(($H9+BF$6)/12,($E9+1-BF$5)*12,(PV(($H9+BE$6)/12,($E9-BE$5)*12,BE9))),0))</f>
        <v>0</v>
      </c>
      <c r="BG9" s="86">
        <f>IF($I9="fixed",IF($E9-BG$5&gt;=0,-1*$K9,0),IF($E9-BF$5&gt;0,PMT(($H9+BG$6)/12,($E9+1-BG$5)*12,(PV(($H9+BF$6)/12,($E9-BF$5)*12,BF9))),0))</f>
        <v>0</v>
      </c>
      <c r="BH9" s="86">
        <f>IF($I9="fixed",IF($E9-BH$5&gt;=0,-1*$K9,0),IF($E9-BG$5&gt;0,PMT(($H9+BH$6)/12,($E9+1-BH$5)*12,(PV(($H9+BG$6)/12,($E9-BG$5)*12,BG9))),0))</f>
        <v>0</v>
      </c>
      <c r="BI9" s="86">
        <f>IF($I9="fixed",IF($E9-BI$5&gt;=0,-1*$K9,0),IF($E9-BH$5&gt;0,PMT(($H9+BI$6)/12,($E9+1-BI$5)*12,(PV(($H9+BH$6)/12,($E9-BH$5)*12,BH9))),0))</f>
        <v>0</v>
      </c>
      <c r="BJ9" s="86">
        <f>IF($I9="fixed",IF($E9-BJ$5&gt;=0,-1*$K9,0),IF($E9-BI$5&gt;0,PMT(($H9+BJ$6)/12,($E9+1-BJ$5)*12,(PV(($H9+BI$6)/12,($E9-BI$5)*12,BI9))),0))</f>
        <v>0</v>
      </c>
      <c r="BK9" s="86">
        <f>IF($I9="fixed",IF($E9-BK$5&gt;=0,-1*$K9,0),IF($E9-BJ$5&gt;0,PMT(($H9+BK$6)/12,($E9+1-BK$5)*12,(PV(($H9+BJ$6)/12,($E9-BJ$5)*12,BJ9))),0))</f>
        <v>0</v>
      </c>
      <c r="BL9" s="86">
        <f>IF($I9="fixed",IF($E9-BL$5&gt;=0,-1*$K9,0),IF($E9-BK$5&gt;0,PMT(($H9+BL$6)/12,($E9+1-BL$5)*12,(PV(($H9+BK$6)/12,($E9-BK$5)*12,BK9))),0))</f>
        <v>0</v>
      </c>
    </row>
    <row r="10" spans="2:64" ht="15" customHeight="1">
      <c r="B10" s="63"/>
      <c r="D10" s="57" t="s">
        <v>118</v>
      </c>
      <c r="E10" s="81"/>
      <c r="F10" s="87"/>
      <c r="G10" s="41"/>
      <c r="H10" s="83"/>
      <c r="I10" s="84"/>
      <c r="J10" s="85"/>
      <c r="K10" s="59">
        <f>IF(E10&gt;0,PMT(H10/12,E10*12,G10)*-1,0)</f>
        <v>0</v>
      </c>
      <c r="L10" s="38">
        <f>K10*12</f>
        <v>0</v>
      </c>
      <c r="M10" s="38">
        <f>K10*12*E10</f>
        <v>0</v>
      </c>
      <c r="N10" s="37"/>
      <c r="O10" s="63"/>
      <c r="Q10" s="58"/>
      <c r="R10" s="56" t="s">
        <v>119</v>
      </c>
      <c r="S10" s="86">
        <f>IF(E10&gt;0,PMT(H10/12,($E10+1-S$5)*12,G10),0)</f>
        <v>0</v>
      </c>
      <c r="T10" s="86">
        <f>IF($I10="fixed",IF($E10-T$5&gt;=0,-1*$K10,0),IF($E10-S$5&gt;0,PMT(($H10+T$6)/12,($E10+1-T$5)*12,(PV(($H10+S$6)/12,($E10-S$5)*12,S10))),0))</f>
        <v>0</v>
      </c>
      <c r="U10" s="86">
        <f>IF($I10="fixed",IF($E10-U$5&gt;=0,-1*$K10,0),IF($E10-T$5&gt;0,PMT(($H10+U$6)/12,($E10+1-U$5)*12,(PV(($H10+T$6)/12,($E10-T$5)*12,T10))),0))</f>
        <v>0</v>
      </c>
      <c r="V10" s="86">
        <f>IF($I10="fixed",IF($E10-V$5&gt;=0,-1*$K10,0),IF($E10-U$5&gt;0,PMT(($H10+V$6)/12,($E10+1-V$5)*12,(PV(($H10+U$6)/12,($E10-U$5)*12,U10))),0))</f>
        <v>0</v>
      </c>
      <c r="W10" s="86">
        <f>IF($I10="fixed",IF($E10-W$5&gt;=0,-1*$K10,0),IF($E10-V$5&gt;0,PMT(($H10+W$6)/12,($E10+1-W$5)*12,(PV(($H10+V$6)/12,($E10-V$5)*12,V10))),0))</f>
        <v>0</v>
      </c>
      <c r="X10" s="86">
        <f>IF($I10="fixed",IF($E10-X$5&gt;=0,-1*$K10,0),IF($E10-W$5&gt;0,PMT(($H10+X$6)/12,($E10+1-X$5)*12,(PV(($H10+W$6)/12,($E10-W$5)*12,W10))),0))</f>
        <v>0</v>
      </c>
      <c r="Y10" s="86">
        <f>IF($I10="fixed",IF($E10-Y$5&gt;=0,-1*$K10,0),IF($E10-X$5&gt;0,PMT(($H10+Y$6)/12,($E10+1-Y$5)*12,(PV(($H10+X$6)/12,($E10-X$5)*12,X10))),0))</f>
        <v>0</v>
      </c>
      <c r="Z10" s="86">
        <f>IF($I10="fixed",IF($E10-Z$5&gt;=0,-1*$K10,0),IF($E10-Y$5&gt;0,PMT(($H10+Z$6)/12,($E10+1-Z$5)*12,(PV(($H10+Y$6)/12,($E10-Y$5)*12,Y10))),0))</f>
        <v>0</v>
      </c>
      <c r="AA10" s="86">
        <f>IF($I10="fixed",IF($E10-AA$5&gt;=0,-1*$K10,0),IF($E10-Z$5&gt;0,PMT(($H10+AA$6)/12,($E10+1-AA$5)*12,(PV(($H10+Z$6)/12,($E10-Z$5)*12,Z10))),0))</f>
        <v>0</v>
      </c>
      <c r="AB10" s="86">
        <f>IF($I10="fixed",IF($E10-AB$5&gt;=0,-1*$K10,0),IF($E10-AA$5&gt;0,PMT(($H10+AB$6)/12,($E10+1-AB$5)*12,(PV(($H10+AA$6)/12,($E10-AA$5)*12,AA10))),0))</f>
        <v>0</v>
      </c>
      <c r="AC10" s="86">
        <f>IF($I10="fixed",IF($E10-AC$5&gt;=0,-1*$K10,0),IF($E10-AB$5&gt;0,PMT(($H10+AC$6)/12,($E10+1-AC$5)*12,(PV(($H10+AB$6)/12,($E10-AB$5)*12,AB10))),0))</f>
        <v>0</v>
      </c>
      <c r="AD10" s="86">
        <f>IF($I10="fixed",IF($E10-AD$5&gt;=0,-1*$K10,0),IF($E10-AC$5&gt;0,PMT(($H10+AD$6)/12,($E10+1-AD$5)*12,(PV(($H10+AC$6)/12,($E10-AC$5)*12,AC10))),0))</f>
        <v>0</v>
      </c>
      <c r="AE10" s="86">
        <f>IF($I10="fixed",IF($E10-AE$5&gt;=0,-1*$K10,0),IF($E10-AD$5&gt;0,PMT(($H10+AE$6)/12,($E10+1-AE$5)*12,(PV(($H10+AD$6)/12,($E10-AD$5)*12,AD10))),0))</f>
        <v>0</v>
      </c>
      <c r="AF10" s="86">
        <f>IF($I10="fixed",IF($E10-AF$5&gt;=0,-1*$K10,0),IF($E10-AE$5&gt;0,PMT(($H10+AF$6)/12,($E10+1-AF$5)*12,(PV(($H10+AE$6)/12,($E10-AE$5)*12,AE10))),0))</f>
        <v>0</v>
      </c>
      <c r="AG10" s="86">
        <f>IF($I10="fixed",IF($E10-AG$5&gt;=0,-1*$K10,0),IF($E10-AF$5&gt;0,PMT(($H10+AG$6)/12,($E10+1-AG$5)*12,(PV(($H10+AF$6)/12,($E10-AF$5)*12,AF10))),0))</f>
        <v>0</v>
      </c>
      <c r="AH10" s="86">
        <f>IF($I10="fixed",IF($E10-AH$5&gt;=0,-1*$K10,0),IF($E10-AG$5&gt;0,PMT(($H10+AH$6)/12,($E10+1-AH$5)*12,(PV(($H10+AG$6)/12,($E10-AG$5)*12,AG10))),0))</f>
        <v>0</v>
      </c>
      <c r="AI10" s="86">
        <f>IF($I10="fixed",IF($E10-AI$5&gt;=0,-1*$K10,0),IF($E10-AH$5&gt;0,PMT(($H10+AI$6)/12,($E10+1-AI$5)*12,(PV(($H10+AH$6)/12,($E10-AH$5)*12,AH10))),0))</f>
        <v>0</v>
      </c>
      <c r="AJ10" s="86">
        <f>IF($I10="fixed",IF($E10-AJ$5&gt;=0,-1*$K10,0),IF($E10-AI$5&gt;0,PMT(($H10+AJ$6)/12,($E10+1-AJ$5)*12,(PV(($H10+AI$6)/12,($E10-AI$5)*12,AI10))),0))</f>
        <v>0</v>
      </c>
      <c r="AK10" s="86">
        <f>IF($I10="fixed",IF($E10-AK$5&gt;=0,-1*$K10,0),IF($E10-AJ$5&gt;0,PMT(($H10+AK$6)/12,($E10+1-AK$5)*12,(PV(($H10+AJ$6)/12,($E10-AJ$5)*12,AJ10))),0))</f>
        <v>0</v>
      </c>
      <c r="AL10" s="86">
        <f>IF($I10="fixed",IF($E10-AL$5&gt;=0,-1*$K10,0),IF($E10-AK$5&gt;0,PMT(($H10+AL$6)/12,($E10+1-AL$5)*12,(PV(($H10+AK$6)/12,($E10-AK$5)*12,AK10))),0))</f>
        <v>0</v>
      </c>
      <c r="AM10" s="86">
        <f>IF($I10="fixed",IF($E10-AM$5&gt;=0,-1*$K10,0),IF($E10-AL$5&gt;0,PMT(($H10+AM$6)/12,($E10+1-AM$5)*12,(PV(($H10+AL$6)/12,($E10-AL$5)*12,AL10))),0))</f>
        <v>0</v>
      </c>
      <c r="AN10" s="86">
        <f>IF($I10="fixed",IF($E10-AN$5&gt;=0,-1*$K10,0),IF($E10-AM$5&gt;0,PMT(($H10+AN$6)/12,($E10+1-AN$5)*12,(PV(($H10+AM$6)/12,($E10-AM$5)*12,AM10))),0))</f>
        <v>0</v>
      </c>
      <c r="AO10" s="86">
        <f>IF($I10="fixed",IF($E10-AO$5&gt;=0,-1*$K10,0),IF($E10-AN$5&gt;0,PMT(($H10+AO$6)/12,($E10+1-AO$5)*12,(PV(($H10+AN$6)/12,($E10-AN$5)*12,AN10))),0))</f>
        <v>0</v>
      </c>
      <c r="AP10" s="86">
        <f>IF($I10="fixed",IF($E10-AP$5&gt;=0,-1*$K10,0),IF($E10-AO$5&gt;0,PMT(($H10+AP$6)/12,($E10+1-AP$5)*12,(PV(($H10+AO$6)/12,($E10-AO$5)*12,AO10))),0))</f>
        <v>0</v>
      </c>
      <c r="AQ10" s="86">
        <f>IF($I10="fixed",IF($E10-AQ$5&gt;=0,-1*$K10,0),IF($E10-AP$5&gt;0,PMT(($H10+AQ$6)/12,($E10+1-AQ$5)*12,(PV(($H10+AP$6)/12,($E10-AP$5)*12,AP10))),0))</f>
        <v>0</v>
      </c>
      <c r="AR10" s="86">
        <f>IF($I10="fixed",IF($E10-AR$5&gt;=0,-1*$K10,0),IF($E10-AQ$5&gt;0,PMT(($H10+AR$6)/12,($E10+1-AR$5)*12,(PV(($H10+AQ$6)/12,($E10-AQ$5)*12,AQ10))),0))</f>
        <v>0</v>
      </c>
      <c r="AS10" s="86">
        <f>IF($I10="fixed",IF($E10-AS$5&gt;=0,-1*$K10,0),IF($E10-AR$5&gt;0,PMT(($H10+AS$6)/12,($E10+1-AS$5)*12,(PV(($H10+AR$6)/12,($E10-AR$5)*12,AR10))),0))</f>
        <v>0</v>
      </c>
      <c r="AT10" s="86">
        <f>IF($I10="fixed",IF($E10-AT$5&gt;=0,-1*$K10,0),IF($E10-AS$5&gt;0,PMT(($H10+AT$6)/12,($E10+1-AT$5)*12,(PV(($H10+AS$6)/12,($E10-AS$5)*12,AS10))),0))</f>
        <v>0</v>
      </c>
      <c r="AU10" s="86">
        <f>IF($I10="fixed",IF($E10-AU$5&gt;=0,-1*$K10,0),IF($E10-AT$5&gt;0,PMT(($H10+AU$6)/12,($E10+1-AU$5)*12,(PV(($H10+AT$6)/12,($E10-AT$5)*12,AT10))),0))</f>
        <v>0</v>
      </c>
      <c r="AV10" s="86">
        <f>IF($I10="fixed",IF($E10-AV$5&gt;=0,-1*$K10,0),IF($E10-AU$5&gt;0,PMT(($H10+AV$6)/12,($E10+1-AV$5)*12,(PV(($H10+AU$6)/12,($E10-AU$5)*12,AU10))),0))</f>
        <v>0</v>
      </c>
      <c r="AW10" s="86">
        <f>IF($I10="fixed",IF($E10-AW$5&gt;=0,-1*$K10,0),IF($E10-AV$5&gt;0,PMT(($H10+AW$6)/12,($E10+1-AW$5)*12,(PV(($H10+AV$6)/12,($E10-AV$5)*12,AV10))),0))</f>
        <v>0</v>
      </c>
      <c r="AX10" s="86">
        <f>IF($I10="fixed",IF($E10-AX$5&gt;=0,-1*$K10,0),IF($E10-AW$5&gt;0,PMT(($H10+AX$6)/12,($E10+1-AX$5)*12,(PV(($H10+AW$6)/12,($E10-AW$5)*12,AW10))),0))</f>
        <v>0</v>
      </c>
      <c r="AY10" s="86">
        <f>IF($I10="fixed",IF($E10-AY$5&gt;=0,-1*$K10,0),IF($E10-AX$5&gt;0,PMT(($H10+AY$6)/12,($E10+1-AY$5)*12,(PV(($H10+AX$6)/12,($E10-AX$5)*12,AX10))),0))</f>
        <v>0</v>
      </c>
      <c r="AZ10" s="86">
        <f>IF($I10="fixed",IF($E10-AZ$5&gt;=0,-1*$K10,0),IF($E10-AY$5&gt;0,PMT(($H10+AZ$6)/12,($E10+1-AZ$5)*12,(PV(($H10+AY$6)/12,($E10-AY$5)*12,AY10))),0))</f>
        <v>0</v>
      </c>
      <c r="BA10" s="86">
        <f>IF($I10="fixed",IF($E10-BA$5&gt;=0,-1*$K10,0),IF($E10-AZ$5&gt;0,PMT(($H10+BA$6)/12,($E10+1-BA$5)*12,(PV(($H10+AZ$6)/12,($E10-AZ$5)*12,AZ10))),0))</f>
        <v>0</v>
      </c>
      <c r="BB10" s="86">
        <f>IF($I10="fixed",IF($E10-BB$5&gt;=0,-1*$K10,0),IF($E10-BA$5&gt;0,PMT(($H10+BB$6)/12,($E10+1-BB$5)*12,(PV(($H10+BA$6)/12,($E10-BA$5)*12,BA10))),0))</f>
        <v>0</v>
      </c>
      <c r="BC10" s="86">
        <f>IF($I10="fixed",IF($E10-BC$5&gt;=0,-1*$K10,0),IF($E10-BB$5&gt;0,PMT(($H10+BC$6)/12,($E10+1-BC$5)*12,(PV(($H10+BB$6)/12,($E10-BB$5)*12,BB10))),0))</f>
        <v>0</v>
      </c>
      <c r="BD10" s="86">
        <f>IF($I10="fixed",IF($E10-BD$5&gt;=0,-1*$K10,0),IF($E10-BC$5&gt;0,PMT(($H10+BD$6)/12,($E10+1-BD$5)*12,(PV(($H10+BC$6)/12,($E10-BC$5)*12,BC10))),0))</f>
        <v>0</v>
      </c>
      <c r="BE10" s="86">
        <f>IF($I10="fixed",IF($E10-BE$5&gt;=0,-1*$K10,0),IF($E10-BD$5&gt;0,PMT(($H10+BE$6)/12,($E10+1-BE$5)*12,(PV(($H10+BD$6)/12,($E10-BD$5)*12,BD10))),0))</f>
        <v>0</v>
      </c>
      <c r="BF10" s="86">
        <f>IF($I10="fixed",IF($E10-BF$5&gt;=0,-1*$K10,0),IF($E10-BE$5&gt;0,PMT(($H10+BF$6)/12,($E10+1-BF$5)*12,(PV(($H10+BE$6)/12,($E10-BE$5)*12,BE10))),0))</f>
        <v>0</v>
      </c>
      <c r="BG10" s="86">
        <f>IF($I10="fixed",IF($E10-BG$5&gt;=0,-1*$K10,0),IF($E10-BF$5&gt;0,PMT(($H10+BG$6)/12,($E10+1-BG$5)*12,(PV(($H10+BF$6)/12,($E10-BF$5)*12,BF10))),0))</f>
        <v>0</v>
      </c>
      <c r="BH10" s="86">
        <f>IF($I10="fixed",IF($E10-BH$5&gt;=0,-1*$K10,0),IF($E10-BG$5&gt;0,PMT(($H10+BH$6)/12,($E10+1-BH$5)*12,(PV(($H10+BG$6)/12,($E10-BG$5)*12,BG10))),0))</f>
        <v>0</v>
      </c>
      <c r="BI10" s="86">
        <f>IF($I10="fixed",IF($E10-BI$5&gt;=0,-1*$K10,0),IF($E10-BH$5&gt;0,PMT(($H10+BI$6)/12,($E10+1-BI$5)*12,(PV(($H10+BH$6)/12,($E10-BH$5)*12,BH10))),0))</f>
        <v>0</v>
      </c>
      <c r="BJ10" s="86">
        <f>IF($I10="fixed",IF($E10-BJ$5&gt;=0,-1*$K10,0),IF($E10-BI$5&gt;0,PMT(($H10+BJ$6)/12,($E10+1-BJ$5)*12,(PV(($H10+BI$6)/12,($E10-BI$5)*12,BI10))),0))</f>
        <v>0</v>
      </c>
      <c r="BK10" s="86">
        <f>IF($I10="fixed",IF($E10-BK$5&gt;=0,-1*$K10,0),IF($E10-BJ$5&gt;0,PMT(($H10+BK$6)/12,($E10+1-BK$5)*12,(PV(($H10+BJ$6)/12,($E10-BJ$5)*12,BJ10))),0))</f>
        <v>0</v>
      </c>
      <c r="BL10" s="86">
        <f>IF($I10="fixed",IF($E10-BL$5&gt;=0,-1*$K10,0),IF($E10-BK$5&gt;0,PMT(($H10+BL$6)/12,($E10+1-BL$5)*12,(PV(($H10+BK$6)/12,($E10-BK$5)*12,BK10))),0))</f>
        <v>0</v>
      </c>
    </row>
    <row r="11" spans="2:64" ht="15" customHeight="1">
      <c r="B11" s="63"/>
      <c r="D11" s="57" t="s">
        <v>120</v>
      </c>
      <c r="E11" s="81"/>
      <c r="F11" s="87"/>
      <c r="G11" s="41"/>
      <c r="H11" s="83"/>
      <c r="I11" s="84"/>
      <c r="J11" s="85"/>
      <c r="K11" s="59">
        <f>IF(E11&gt;0,PMT(H11/12,E11*12,G11)*-1,0)</f>
        <v>0</v>
      </c>
      <c r="L11" s="38">
        <f>K11*12</f>
        <v>0</v>
      </c>
      <c r="M11" s="38">
        <f>K11*12*E11</f>
        <v>0</v>
      </c>
      <c r="N11" s="37"/>
      <c r="O11" s="63"/>
      <c r="Q11" s="58"/>
      <c r="R11" s="56" t="s">
        <v>121</v>
      </c>
      <c r="S11" s="86">
        <f>IF(E11&gt;0,PMT(H11/12,($E11+1-S$5)*12,G11),0)</f>
        <v>0</v>
      </c>
      <c r="T11" s="86">
        <f>IF($I11="fixed",IF($E11-T$5&gt;=0,-1*$K11,0),IF($E11-S$5&gt;0,PMT(($H11+T$6)/12,($E11+1-T$5)*12,(PV(($H11+S$6)/12,($E11-S$5)*12,S11))),0))</f>
        <v>0</v>
      </c>
      <c r="U11" s="86">
        <f>IF($I11="fixed",IF($E11-U$5&gt;=0,-1*$K11,0),IF($E11-T$5&gt;0,PMT(($H11+U$6)/12,($E11+1-U$5)*12,(PV(($H11+T$6)/12,($E11-T$5)*12,T11))),0))</f>
        <v>0</v>
      </c>
      <c r="V11" s="86">
        <f>IF($I11="fixed",IF($E11-V$5&gt;=0,-1*$K11,0),IF($E11-U$5&gt;0,PMT(($H11+V$6)/12,($E11+1-V$5)*12,(PV(($H11+U$6)/12,($E11-U$5)*12,U11))),0))</f>
        <v>0</v>
      </c>
      <c r="W11" s="86">
        <f>IF($I11="fixed",IF($E11-W$5&gt;=0,-1*$K11,0),IF($E11-V$5&gt;0,PMT(($H11+W$6)/12,($E11+1-W$5)*12,(PV(($H11+V$6)/12,($E11-V$5)*12,V11))),0))</f>
        <v>0</v>
      </c>
      <c r="X11" s="86">
        <f>IF($I11="fixed",IF($E11-X$5&gt;=0,-1*$K11,0),IF($E11-W$5&gt;0,PMT(($H11+X$6)/12,($E11+1-X$5)*12,(PV(($H11+W$6)/12,($E11-W$5)*12,W11))),0))</f>
        <v>0</v>
      </c>
      <c r="Y11" s="86">
        <f>IF($I11="fixed",IF($E11-Y$5&gt;=0,-1*$K11,0),IF($E11-X$5&gt;0,PMT(($H11+Y$6)/12,($E11+1-Y$5)*12,(PV(($H11+X$6)/12,($E11-X$5)*12,X11))),0))</f>
        <v>0</v>
      </c>
      <c r="Z11" s="86">
        <f>IF($I11="fixed",IF($E11-Z$5&gt;=0,-1*$K11,0),IF($E11-Y$5&gt;0,PMT(($H11+Z$6)/12,($E11+1-Z$5)*12,(PV(($H11+Y$6)/12,($E11-Y$5)*12,Y11))),0))</f>
        <v>0</v>
      </c>
      <c r="AA11" s="86">
        <f>IF($I11="fixed",IF($E11-AA$5&gt;=0,-1*$K11,0),IF($E11-Z$5&gt;0,PMT(($H11+AA$6)/12,($E11+1-AA$5)*12,(PV(($H11+Z$6)/12,($E11-Z$5)*12,Z11))),0))</f>
        <v>0</v>
      </c>
      <c r="AB11" s="86">
        <f>IF($I11="fixed",IF($E11-AB$5&gt;=0,-1*$K11,0),IF($E11-AA$5&gt;0,PMT(($H11+AB$6)/12,($E11+1-AB$5)*12,(PV(($H11+AA$6)/12,($E11-AA$5)*12,AA11))),0))</f>
        <v>0</v>
      </c>
      <c r="AC11" s="86">
        <f>IF($I11="fixed",IF($E11-AC$5&gt;=0,-1*$K11,0),IF($E11-AB$5&gt;0,PMT(($H11+AC$6)/12,($E11+1-AC$5)*12,(PV(($H11+AB$6)/12,($E11-AB$5)*12,AB11))),0))</f>
        <v>0</v>
      </c>
      <c r="AD11" s="86">
        <f>IF($I11="fixed",IF($E11-AD$5&gt;=0,-1*$K11,0),IF($E11-AC$5&gt;0,PMT(($H11+AD$6)/12,($E11+1-AD$5)*12,(PV(($H11+AC$6)/12,($E11-AC$5)*12,AC11))),0))</f>
        <v>0</v>
      </c>
      <c r="AE11" s="86">
        <f>IF($I11="fixed",IF($E11-AE$5&gt;=0,-1*$K11,0),IF($E11-AD$5&gt;0,PMT(($H11+AE$6)/12,($E11+1-AE$5)*12,(PV(($H11+AD$6)/12,($E11-AD$5)*12,AD11))),0))</f>
        <v>0</v>
      </c>
      <c r="AF11" s="86">
        <f>IF($I11="fixed",IF($E11-AF$5&gt;=0,-1*$K11,0),IF($E11-AE$5&gt;0,PMT(($H11+AF$6)/12,($E11+1-AF$5)*12,(PV(($H11+AE$6)/12,($E11-AE$5)*12,AE11))),0))</f>
        <v>0</v>
      </c>
      <c r="AG11" s="86">
        <f>IF($I11="fixed",IF($E11-AG$5&gt;=0,-1*$K11,0),IF($E11-AF$5&gt;0,PMT(($H11+AG$6)/12,($E11+1-AG$5)*12,(PV(($H11+AF$6)/12,($E11-AF$5)*12,AF11))),0))</f>
        <v>0</v>
      </c>
      <c r="AH11" s="86">
        <f>IF($I11="fixed",IF($E11-AH$5&gt;=0,-1*$K11,0),IF($E11-AG$5&gt;0,PMT(($H11+AH$6)/12,($E11+1-AH$5)*12,(PV(($H11+AG$6)/12,($E11-AG$5)*12,AG11))),0))</f>
        <v>0</v>
      </c>
      <c r="AI11" s="86">
        <f>IF($I11="fixed",IF($E11-AI$5&gt;=0,-1*$K11,0),IF($E11-AH$5&gt;0,PMT(($H11+AI$6)/12,($E11+1-AI$5)*12,(PV(($H11+AH$6)/12,($E11-AH$5)*12,AH11))),0))</f>
        <v>0</v>
      </c>
      <c r="AJ11" s="86">
        <f>IF($I11="fixed",IF($E11-AJ$5&gt;=0,-1*$K11,0),IF($E11-AI$5&gt;0,PMT(($H11+AJ$6)/12,($E11+1-AJ$5)*12,(PV(($H11+AI$6)/12,($E11-AI$5)*12,AI11))),0))</f>
        <v>0</v>
      </c>
      <c r="AK11" s="86">
        <f>IF($I11="fixed",IF($E11-AK$5&gt;=0,-1*$K11,0),IF($E11-AJ$5&gt;0,PMT(($H11+AK$6)/12,($E11+1-AK$5)*12,(PV(($H11+AJ$6)/12,($E11-AJ$5)*12,AJ11))),0))</f>
        <v>0</v>
      </c>
      <c r="AL11" s="86">
        <f>IF($I11="fixed",IF($E11-AL$5&gt;=0,-1*$K11,0),IF($E11-AK$5&gt;0,PMT(($H11+AL$6)/12,($E11+1-AL$5)*12,(PV(($H11+AK$6)/12,($E11-AK$5)*12,AK11))),0))</f>
        <v>0</v>
      </c>
      <c r="AM11" s="86">
        <f>IF($I11="fixed",IF($E11-AM$5&gt;=0,-1*$K11,0),IF($E11-AL$5&gt;0,PMT(($H11+AM$6)/12,($E11+1-AM$5)*12,(PV(($H11+AL$6)/12,($E11-AL$5)*12,AL11))),0))</f>
        <v>0</v>
      </c>
      <c r="AN11" s="86">
        <f>IF($I11="fixed",IF($E11-AN$5&gt;=0,-1*$K11,0),IF($E11-AM$5&gt;0,PMT(($H11+AN$6)/12,($E11+1-AN$5)*12,(PV(($H11+AM$6)/12,($E11-AM$5)*12,AM11))),0))</f>
        <v>0</v>
      </c>
      <c r="AO11" s="86">
        <f>IF($I11="fixed",IF($E11-AO$5&gt;=0,-1*$K11,0),IF($E11-AN$5&gt;0,PMT(($H11+AO$6)/12,($E11+1-AO$5)*12,(PV(($H11+AN$6)/12,($E11-AN$5)*12,AN11))),0))</f>
        <v>0</v>
      </c>
      <c r="AP11" s="86">
        <f>IF($I11="fixed",IF($E11-AP$5&gt;=0,-1*$K11,0),IF($E11-AO$5&gt;0,PMT(($H11+AP$6)/12,($E11+1-AP$5)*12,(PV(($H11+AO$6)/12,($E11-AO$5)*12,AO11))),0))</f>
        <v>0</v>
      </c>
      <c r="AQ11" s="86">
        <f>IF($I11="fixed",IF($E11-AQ$5&gt;=0,-1*$K11,0),IF($E11-AP$5&gt;0,PMT(($H11+AQ$6)/12,($E11+1-AQ$5)*12,(PV(($H11+AP$6)/12,($E11-AP$5)*12,AP11))),0))</f>
        <v>0</v>
      </c>
      <c r="AR11" s="86">
        <f>IF($I11="fixed",IF($E11-AR$5&gt;=0,-1*$K11,0),IF($E11-AQ$5&gt;0,PMT(($H11+AR$6)/12,($E11+1-AR$5)*12,(PV(($H11+AQ$6)/12,($E11-AQ$5)*12,AQ11))),0))</f>
        <v>0</v>
      </c>
      <c r="AS11" s="86">
        <f>IF($I11="fixed",IF($E11-AS$5&gt;=0,-1*$K11,0),IF($E11-AR$5&gt;0,PMT(($H11+AS$6)/12,($E11+1-AS$5)*12,(PV(($H11+AR$6)/12,($E11-AR$5)*12,AR11))),0))</f>
        <v>0</v>
      </c>
      <c r="AT11" s="86">
        <f>IF($I11="fixed",IF($E11-AT$5&gt;=0,-1*$K11,0),IF($E11-AS$5&gt;0,PMT(($H11+AT$6)/12,($E11+1-AT$5)*12,(PV(($H11+AS$6)/12,($E11-AS$5)*12,AS11))),0))</f>
        <v>0</v>
      </c>
      <c r="AU11" s="86">
        <f>IF($I11="fixed",IF($E11-AU$5&gt;=0,-1*$K11,0),IF($E11-AT$5&gt;0,PMT(($H11+AU$6)/12,($E11+1-AU$5)*12,(PV(($H11+AT$6)/12,($E11-AT$5)*12,AT11))),0))</f>
        <v>0</v>
      </c>
      <c r="AV11" s="86">
        <f>IF($I11="fixed",IF($E11-AV$5&gt;=0,-1*$K11,0),IF($E11-AU$5&gt;0,PMT(($H11+AV$6)/12,($E11+1-AV$5)*12,(PV(($H11+AU$6)/12,($E11-AU$5)*12,AU11))),0))</f>
        <v>0</v>
      </c>
      <c r="AW11" s="86">
        <f>IF($I11="fixed",IF($E11-AW$5&gt;=0,-1*$K11,0),IF($E11-AV$5&gt;0,PMT(($H11+AW$6)/12,($E11+1-AW$5)*12,(PV(($H11+AV$6)/12,($E11-AV$5)*12,AV11))),0))</f>
        <v>0</v>
      </c>
      <c r="AX11" s="86">
        <f>IF($I11="fixed",IF($E11-AX$5&gt;=0,-1*$K11,0),IF($E11-AW$5&gt;0,PMT(($H11+AX$6)/12,($E11+1-AX$5)*12,(PV(($H11+AW$6)/12,($E11-AW$5)*12,AW11))),0))</f>
        <v>0</v>
      </c>
      <c r="AY11" s="86">
        <f>IF($I11="fixed",IF($E11-AY$5&gt;=0,-1*$K11,0),IF($E11-AX$5&gt;0,PMT(($H11+AY$6)/12,($E11+1-AY$5)*12,(PV(($H11+AX$6)/12,($E11-AX$5)*12,AX11))),0))</f>
        <v>0</v>
      </c>
      <c r="AZ11" s="86">
        <f>IF($I11="fixed",IF($E11-AZ$5&gt;=0,-1*$K11,0),IF($E11-AY$5&gt;0,PMT(($H11+AZ$6)/12,($E11+1-AZ$5)*12,(PV(($H11+AY$6)/12,($E11-AY$5)*12,AY11))),0))</f>
        <v>0</v>
      </c>
      <c r="BA11" s="86">
        <f>IF($I11="fixed",IF($E11-BA$5&gt;=0,-1*$K11,0),IF($E11-AZ$5&gt;0,PMT(($H11+BA$6)/12,($E11+1-BA$5)*12,(PV(($H11+AZ$6)/12,($E11-AZ$5)*12,AZ11))),0))</f>
        <v>0</v>
      </c>
      <c r="BB11" s="86">
        <f>IF($I11="fixed",IF($E11-BB$5&gt;=0,-1*$K11,0),IF($E11-BA$5&gt;0,PMT(($H11+BB$6)/12,($E11+1-BB$5)*12,(PV(($H11+BA$6)/12,($E11-BA$5)*12,BA11))),0))</f>
        <v>0</v>
      </c>
      <c r="BC11" s="86">
        <f>IF($I11="fixed",IF($E11-BC$5&gt;=0,-1*$K11,0),IF($E11-BB$5&gt;0,PMT(($H11+BC$6)/12,($E11+1-BC$5)*12,(PV(($H11+BB$6)/12,($E11-BB$5)*12,BB11))),0))</f>
        <v>0</v>
      </c>
      <c r="BD11" s="86">
        <f>IF($I11="fixed",IF($E11-BD$5&gt;=0,-1*$K11,0),IF($E11-BC$5&gt;0,PMT(($H11+BD$6)/12,($E11+1-BD$5)*12,(PV(($H11+BC$6)/12,($E11-BC$5)*12,BC11))),0))</f>
        <v>0</v>
      </c>
      <c r="BE11" s="86">
        <f>IF($I11="fixed",IF($E11-BE$5&gt;=0,-1*$K11,0),IF($E11-BD$5&gt;0,PMT(($H11+BE$6)/12,($E11+1-BE$5)*12,(PV(($H11+BD$6)/12,($E11-BD$5)*12,BD11))),0))</f>
        <v>0</v>
      </c>
      <c r="BF11" s="86">
        <f>IF($I11="fixed",IF($E11-BF$5&gt;=0,-1*$K11,0),IF($E11-BE$5&gt;0,PMT(($H11+BF$6)/12,($E11+1-BF$5)*12,(PV(($H11+BE$6)/12,($E11-BE$5)*12,BE11))),0))</f>
        <v>0</v>
      </c>
      <c r="BG11" s="86">
        <f>IF($I11="fixed",IF($E11-BG$5&gt;=0,-1*$K11,0),IF($E11-BF$5&gt;0,PMT(($H11+BG$6)/12,($E11+1-BG$5)*12,(PV(($H11+BF$6)/12,($E11-BF$5)*12,BF11))),0))</f>
        <v>0</v>
      </c>
      <c r="BH11" s="86">
        <f>IF($I11="fixed",IF($E11-BH$5&gt;=0,-1*$K11,0),IF($E11-BG$5&gt;0,PMT(($H11+BH$6)/12,($E11+1-BH$5)*12,(PV(($H11+BG$6)/12,($E11-BG$5)*12,BG11))),0))</f>
        <v>0</v>
      </c>
      <c r="BI11" s="86">
        <f>IF($I11="fixed",IF($E11-BI$5&gt;=0,-1*$K11,0),IF($E11-BH$5&gt;0,PMT(($H11+BI$6)/12,($E11+1-BI$5)*12,(PV(($H11+BH$6)/12,($E11-BH$5)*12,BH11))),0))</f>
        <v>0</v>
      </c>
      <c r="BJ11" s="86">
        <f>IF($I11="fixed",IF($E11-BJ$5&gt;=0,-1*$K11,0),IF($E11-BI$5&gt;0,PMT(($H11+BJ$6)/12,($E11+1-BJ$5)*12,(PV(($H11+BI$6)/12,($E11-BI$5)*12,BI11))),0))</f>
        <v>0</v>
      </c>
      <c r="BK11" s="86">
        <f>IF($I11="fixed",IF($E11-BK$5&gt;=0,-1*$K11,0),IF($E11-BJ$5&gt;0,PMT(($H11+BK$6)/12,($E11+1-BK$5)*12,(PV(($H11+BJ$6)/12,($E11-BJ$5)*12,BJ11))),0))</f>
        <v>0</v>
      </c>
      <c r="BL11" s="86">
        <f>IF($I11="fixed",IF($E11-BL$5&gt;=0,-1*$K11,0),IF($E11-BK$5&gt;0,PMT(($H11+BL$6)/12,($E11+1-BL$5)*12,(PV(($H11+BK$6)/12,($E11-BK$5)*12,BK11))),0))</f>
        <v>0</v>
      </c>
    </row>
    <row r="12" spans="2:64" ht="13.5" customHeight="1">
      <c r="B12" s="63"/>
      <c r="E12" s="78"/>
      <c r="F12" s="42" t="s">
        <v>122</v>
      </c>
      <c r="G12" s="43">
        <f>SUM(G8:G11)</f>
        <v>100000</v>
      </c>
      <c r="H12" s="88"/>
      <c r="I12" s="89"/>
      <c r="J12" s="89"/>
      <c r="K12" s="90">
        <f>SUM(K8:K11)</f>
        <v>583.572856443553</v>
      </c>
      <c r="L12" s="90">
        <f>SUM(L8:L11)</f>
        <v>7002.874277322635</v>
      </c>
      <c r="M12" s="91">
        <f>SUM(M8:M11)</f>
        <v>210086.22831967904</v>
      </c>
      <c r="O12" s="63"/>
      <c r="R12" s="92" t="s">
        <v>106</v>
      </c>
      <c r="S12" s="93">
        <f aca="true" t="shared" si="1" ref="S12:BL12">-12*SUM(S8:S11)</f>
        <v>7002.874277322635</v>
      </c>
      <c r="T12" s="93">
        <f t="shared" si="1"/>
        <v>7002.874277322648</v>
      </c>
      <c r="U12" s="93">
        <f t="shared" si="1"/>
        <v>7002.874277322661</v>
      </c>
      <c r="V12" s="93">
        <f t="shared" si="1"/>
        <v>7002.874277322675</v>
      </c>
      <c r="W12" s="93">
        <f t="shared" si="1"/>
        <v>7002.8742773226895</v>
      </c>
      <c r="X12" s="93">
        <f t="shared" si="1"/>
        <v>7002.874277322706</v>
      </c>
      <c r="Y12" s="93">
        <f t="shared" si="1"/>
        <v>7002.874277322724</v>
      </c>
      <c r="Z12" s="93">
        <f t="shared" si="1"/>
        <v>7002.87427732274</v>
      </c>
      <c r="AA12" s="93">
        <f t="shared" si="1"/>
        <v>7002.874277322757</v>
      </c>
      <c r="AB12" s="93">
        <f t="shared" si="1"/>
        <v>7002.874277322775</v>
      </c>
      <c r="AC12" s="93">
        <f t="shared" si="1"/>
        <v>7002.874277322792</v>
      </c>
      <c r="AD12" s="93">
        <f t="shared" si="1"/>
        <v>7002.874277322811</v>
      </c>
      <c r="AE12" s="93">
        <f t="shared" si="1"/>
        <v>7002.8742773228305</v>
      </c>
      <c r="AF12" s="93">
        <f t="shared" si="1"/>
        <v>7002.87427732285</v>
      </c>
      <c r="AG12" s="93">
        <f t="shared" si="1"/>
        <v>7002.87427732287</v>
      </c>
      <c r="AH12" s="93">
        <f t="shared" si="1"/>
        <v>7002.874277322891</v>
      </c>
      <c r="AI12" s="93">
        <f t="shared" si="1"/>
        <v>7002.874277322915</v>
      </c>
      <c r="AJ12" s="93">
        <f t="shared" si="1"/>
        <v>7002.874277322937</v>
      </c>
      <c r="AK12" s="93">
        <f t="shared" si="1"/>
        <v>7002.8742773229615</v>
      </c>
      <c r="AL12" s="93">
        <f t="shared" si="1"/>
        <v>7002.874277322988</v>
      </c>
      <c r="AM12" s="93">
        <f t="shared" si="1"/>
        <v>7002.8742773230115</v>
      </c>
      <c r="AN12" s="93">
        <f t="shared" si="1"/>
        <v>7002.874277323039</v>
      </c>
      <c r="AO12" s="93">
        <f t="shared" si="1"/>
        <v>7002.874277323068</v>
      </c>
      <c r="AP12" s="93">
        <f t="shared" si="1"/>
        <v>7002.874277323095</v>
      </c>
      <c r="AQ12" s="93">
        <f t="shared" si="1"/>
        <v>7002.874277323124</v>
      </c>
      <c r="AR12" s="93">
        <f t="shared" si="1"/>
        <v>7002.8742773231525</v>
      </c>
      <c r="AS12" s="93">
        <f t="shared" si="1"/>
        <v>7002.8742773231825</v>
      </c>
      <c r="AT12" s="93">
        <f t="shared" si="1"/>
        <v>7002.874277323213</v>
      </c>
      <c r="AU12" s="93">
        <f t="shared" si="1"/>
        <v>7002.87427732325</v>
      </c>
      <c r="AV12" s="93">
        <f t="shared" si="1"/>
        <v>7002.874277323289</v>
      </c>
      <c r="AW12" s="93">
        <f t="shared" si="1"/>
        <v>0</v>
      </c>
      <c r="AX12" s="93">
        <f t="shared" si="1"/>
        <v>0</v>
      </c>
      <c r="AY12" s="93">
        <f t="shared" si="1"/>
        <v>0</v>
      </c>
      <c r="AZ12" s="93">
        <f t="shared" si="1"/>
        <v>0</v>
      </c>
      <c r="BA12" s="93">
        <f t="shared" si="1"/>
        <v>0</v>
      </c>
      <c r="BB12" s="93">
        <f t="shared" si="1"/>
        <v>0</v>
      </c>
      <c r="BC12" s="93">
        <f t="shared" si="1"/>
        <v>0</v>
      </c>
      <c r="BD12" s="93">
        <f t="shared" si="1"/>
        <v>0</v>
      </c>
      <c r="BE12" s="93">
        <f t="shared" si="1"/>
        <v>0</v>
      </c>
      <c r="BF12" s="93">
        <f t="shared" si="1"/>
        <v>0</v>
      </c>
      <c r="BG12" s="93">
        <f t="shared" si="1"/>
        <v>0</v>
      </c>
      <c r="BH12" s="93">
        <f t="shared" si="1"/>
        <v>0</v>
      </c>
      <c r="BI12" s="93">
        <f t="shared" si="1"/>
        <v>0</v>
      </c>
      <c r="BJ12" s="93">
        <f t="shared" si="1"/>
        <v>0</v>
      </c>
      <c r="BK12" s="93">
        <f t="shared" si="1"/>
        <v>0</v>
      </c>
      <c r="BL12" s="93">
        <f t="shared" si="1"/>
        <v>0</v>
      </c>
    </row>
    <row r="13" spans="2:64" ht="12.75" customHeight="1">
      <c r="B13" s="63"/>
      <c r="E13" s="78"/>
      <c r="F13" s="42"/>
      <c r="G13" s="44"/>
      <c r="H13" s="94"/>
      <c r="I13" s="95"/>
      <c r="J13" s="95"/>
      <c r="K13" s="38"/>
      <c r="L13" s="38"/>
      <c r="M13" s="38"/>
      <c r="O13" s="63"/>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2:64" ht="12.75" customHeight="1">
      <c r="B14" s="63"/>
      <c r="E14" s="78"/>
      <c r="F14" s="37"/>
      <c r="G14" s="38"/>
      <c r="H14" s="79"/>
      <c r="I14" s="80"/>
      <c r="J14" s="80"/>
      <c r="K14" s="38"/>
      <c r="L14" s="96"/>
      <c r="M14" s="38"/>
      <c r="N14" s="37"/>
      <c r="O14" s="63"/>
      <c r="R14" s="56" t="s">
        <v>123</v>
      </c>
      <c r="S14" s="57">
        <v>1</v>
      </c>
      <c r="T14" s="57">
        <f aca="true" t="shared" si="2" ref="T14:BL14">S14+1</f>
        <v>2</v>
      </c>
      <c r="U14" s="57">
        <f t="shared" si="2"/>
        <v>3</v>
      </c>
      <c r="V14" s="57">
        <f t="shared" si="2"/>
        <v>4</v>
      </c>
      <c r="W14" s="57">
        <f t="shared" si="2"/>
        <v>5</v>
      </c>
      <c r="X14" s="57">
        <f t="shared" si="2"/>
        <v>6</v>
      </c>
      <c r="Y14" s="57">
        <f t="shared" si="2"/>
        <v>7</v>
      </c>
      <c r="Z14" s="57">
        <f t="shared" si="2"/>
        <v>8</v>
      </c>
      <c r="AA14" s="57">
        <f t="shared" si="2"/>
        <v>9</v>
      </c>
      <c r="AB14" s="57">
        <f t="shared" si="2"/>
        <v>10</v>
      </c>
      <c r="AC14" s="57">
        <f t="shared" si="2"/>
        <v>11</v>
      </c>
      <c r="AD14" s="57">
        <f t="shared" si="2"/>
        <v>12</v>
      </c>
      <c r="AE14" s="57">
        <f t="shared" si="2"/>
        <v>13</v>
      </c>
      <c r="AF14" s="57">
        <f t="shared" si="2"/>
        <v>14</v>
      </c>
      <c r="AG14" s="57">
        <f t="shared" si="2"/>
        <v>15</v>
      </c>
      <c r="AH14" s="57">
        <f t="shared" si="2"/>
        <v>16</v>
      </c>
      <c r="AI14" s="57">
        <f t="shared" si="2"/>
        <v>17</v>
      </c>
      <c r="AJ14" s="57">
        <f t="shared" si="2"/>
        <v>18</v>
      </c>
      <c r="AK14" s="57">
        <f t="shared" si="2"/>
        <v>19</v>
      </c>
      <c r="AL14" s="57">
        <f t="shared" si="2"/>
        <v>20</v>
      </c>
      <c r="AM14" s="57">
        <f t="shared" si="2"/>
        <v>21</v>
      </c>
      <c r="AN14" s="57">
        <f t="shared" si="2"/>
        <v>22</v>
      </c>
      <c r="AO14" s="57">
        <f t="shared" si="2"/>
        <v>23</v>
      </c>
      <c r="AP14" s="57">
        <f t="shared" si="2"/>
        <v>24</v>
      </c>
      <c r="AQ14" s="57">
        <f t="shared" si="2"/>
        <v>25</v>
      </c>
      <c r="AR14" s="57">
        <f t="shared" si="2"/>
        <v>26</v>
      </c>
      <c r="AS14" s="57">
        <f t="shared" si="2"/>
        <v>27</v>
      </c>
      <c r="AT14" s="57">
        <f t="shared" si="2"/>
        <v>28</v>
      </c>
      <c r="AU14" s="57">
        <f t="shared" si="2"/>
        <v>29</v>
      </c>
      <c r="AV14" s="57">
        <f t="shared" si="2"/>
        <v>30</v>
      </c>
      <c r="AW14" s="57">
        <f t="shared" si="2"/>
        <v>31</v>
      </c>
      <c r="AX14" s="57">
        <f t="shared" si="2"/>
        <v>32</v>
      </c>
      <c r="AY14" s="57">
        <f t="shared" si="2"/>
        <v>33</v>
      </c>
      <c r="AZ14" s="57">
        <f t="shared" si="2"/>
        <v>34</v>
      </c>
      <c r="BA14" s="57">
        <f t="shared" si="2"/>
        <v>35</v>
      </c>
      <c r="BB14" s="57">
        <f t="shared" si="2"/>
        <v>36</v>
      </c>
      <c r="BC14" s="57">
        <f t="shared" si="2"/>
        <v>37</v>
      </c>
      <c r="BD14" s="57">
        <f t="shared" si="2"/>
        <v>38</v>
      </c>
      <c r="BE14" s="57">
        <f t="shared" si="2"/>
        <v>39</v>
      </c>
      <c r="BF14" s="57">
        <f t="shared" si="2"/>
        <v>40</v>
      </c>
      <c r="BG14" s="57">
        <f t="shared" si="2"/>
        <v>41</v>
      </c>
      <c r="BH14" s="57">
        <f t="shared" si="2"/>
        <v>42</v>
      </c>
      <c r="BI14" s="57">
        <f t="shared" si="2"/>
        <v>43</v>
      </c>
      <c r="BJ14" s="57">
        <f t="shared" si="2"/>
        <v>44</v>
      </c>
      <c r="BK14" s="57">
        <f t="shared" si="2"/>
        <v>45</v>
      </c>
      <c r="BL14" s="57">
        <f t="shared" si="2"/>
        <v>46</v>
      </c>
    </row>
    <row r="15" spans="2:15" ht="5.25" customHeight="1">
      <c r="B15" s="63"/>
      <c r="C15" s="63"/>
      <c r="D15" s="64"/>
      <c r="E15" s="97"/>
      <c r="F15" s="98"/>
      <c r="G15" s="99"/>
      <c r="H15" s="100"/>
      <c r="I15" s="101"/>
      <c r="J15" s="101"/>
      <c r="K15" s="99"/>
      <c r="L15" s="102"/>
      <c r="M15" s="99"/>
      <c r="N15" s="98"/>
      <c r="O15" s="63"/>
    </row>
    <row r="16" spans="4:64" ht="15" customHeight="1">
      <c r="D16" s="57" t="s">
        <v>124</v>
      </c>
      <c r="E16" s="57"/>
      <c r="R16" s="56" t="s">
        <v>113</v>
      </c>
      <c r="S16" s="86">
        <f>IF($J$8="yes",(G8*H8)/-12,S8)</f>
        <v>-583.572856443553</v>
      </c>
      <c r="T16" s="56">
        <f aca="true" t="shared" si="3" ref="T16:BL16">IF($J$8="yes",S8,T8)</f>
        <v>-583.572856443554</v>
      </c>
      <c r="U16" s="56">
        <f t="shared" si="3"/>
        <v>-583.5728564435551</v>
      </c>
      <c r="V16" s="56">
        <f t="shared" si="3"/>
        <v>-583.5728564435562</v>
      </c>
      <c r="W16" s="56">
        <f t="shared" si="3"/>
        <v>-583.5728564435575</v>
      </c>
      <c r="X16" s="56">
        <f t="shared" si="3"/>
        <v>-583.5728564435589</v>
      </c>
      <c r="Y16" s="56">
        <f t="shared" si="3"/>
        <v>-583.5728564435603</v>
      </c>
      <c r="Z16" s="56">
        <f t="shared" si="3"/>
        <v>-583.5728564435617</v>
      </c>
      <c r="AA16" s="56">
        <f t="shared" si="3"/>
        <v>-583.5728564435631</v>
      </c>
      <c r="AB16" s="56">
        <f t="shared" si="3"/>
        <v>-583.5728564435645</v>
      </c>
      <c r="AC16" s="56">
        <f t="shared" si="3"/>
        <v>-583.572856443566</v>
      </c>
      <c r="AD16" s="56">
        <f t="shared" si="3"/>
        <v>-583.5728564435676</v>
      </c>
      <c r="AE16" s="56">
        <f t="shared" si="3"/>
        <v>-583.5728564435692</v>
      </c>
      <c r="AF16" s="56">
        <f t="shared" si="3"/>
        <v>-583.5728564435708</v>
      </c>
      <c r="AG16" s="56">
        <f t="shared" si="3"/>
        <v>-583.5728564435725</v>
      </c>
      <c r="AH16" s="56">
        <f t="shared" si="3"/>
        <v>-583.5728564435743</v>
      </c>
      <c r="AI16" s="56">
        <f t="shared" si="3"/>
        <v>-583.5728564435763</v>
      </c>
      <c r="AJ16" s="56">
        <f t="shared" si="3"/>
        <v>-583.5728564435781</v>
      </c>
      <c r="AK16" s="56">
        <f t="shared" si="3"/>
        <v>-583.5728564435801</v>
      </c>
      <c r="AL16" s="56">
        <f t="shared" si="3"/>
        <v>-583.5728564435823</v>
      </c>
      <c r="AM16" s="56">
        <f t="shared" si="3"/>
        <v>-583.5728564435843</v>
      </c>
      <c r="AN16" s="56">
        <f t="shared" si="3"/>
        <v>-583.5728564435866</v>
      </c>
      <c r="AO16" s="56">
        <f t="shared" si="3"/>
        <v>-583.572856443589</v>
      </c>
      <c r="AP16" s="56">
        <f t="shared" si="3"/>
        <v>-583.5728564435913</v>
      </c>
      <c r="AQ16" s="56">
        <f t="shared" si="3"/>
        <v>-583.5728564435937</v>
      </c>
      <c r="AR16" s="56">
        <f t="shared" si="3"/>
        <v>-583.572856443596</v>
      </c>
      <c r="AS16" s="56">
        <f t="shared" si="3"/>
        <v>-583.5728564435985</v>
      </c>
      <c r="AT16" s="56">
        <f t="shared" si="3"/>
        <v>-583.5728564436012</v>
      </c>
      <c r="AU16" s="56">
        <f t="shared" si="3"/>
        <v>-583.5728564436041</v>
      </c>
      <c r="AV16" s="56">
        <f t="shared" si="3"/>
        <v>-583.5728564436074</v>
      </c>
      <c r="AW16" s="56">
        <f t="shared" si="3"/>
        <v>0</v>
      </c>
      <c r="AX16" s="56">
        <f t="shared" si="3"/>
        <v>0</v>
      </c>
      <c r="AY16" s="56">
        <f t="shared" si="3"/>
        <v>0</v>
      </c>
      <c r="AZ16" s="56">
        <f t="shared" si="3"/>
        <v>0</v>
      </c>
      <c r="BA16" s="56">
        <f t="shared" si="3"/>
        <v>0</v>
      </c>
      <c r="BB16" s="56">
        <f t="shared" si="3"/>
        <v>0</v>
      </c>
      <c r="BC16" s="56">
        <f t="shared" si="3"/>
        <v>0</v>
      </c>
      <c r="BD16" s="56">
        <f t="shared" si="3"/>
        <v>0</v>
      </c>
      <c r="BE16" s="56">
        <f t="shared" si="3"/>
        <v>0</v>
      </c>
      <c r="BF16" s="56">
        <f t="shared" si="3"/>
        <v>0</v>
      </c>
      <c r="BG16" s="56">
        <f t="shared" si="3"/>
        <v>0</v>
      </c>
      <c r="BH16" s="56">
        <f t="shared" si="3"/>
        <v>0</v>
      </c>
      <c r="BI16" s="56">
        <f t="shared" si="3"/>
        <v>0</v>
      </c>
      <c r="BJ16" s="56">
        <f t="shared" si="3"/>
        <v>0</v>
      </c>
      <c r="BK16" s="56">
        <f t="shared" si="3"/>
        <v>0</v>
      </c>
      <c r="BL16" s="56">
        <f t="shared" si="3"/>
        <v>0</v>
      </c>
    </row>
    <row r="17" spans="4:64" ht="12" customHeight="1">
      <c r="D17" s="57" t="s">
        <v>125</v>
      </c>
      <c r="E17" s="57"/>
      <c r="R17" s="56" t="s">
        <v>117</v>
      </c>
      <c r="S17" s="86">
        <f>IF($J$9="yes",(G9*H9)/-12,S9)</f>
        <v>0</v>
      </c>
      <c r="T17" s="56">
        <f aca="true" t="shared" si="4" ref="T17:BL17">IF($J$9="yes",S9,T9)</f>
        <v>0</v>
      </c>
      <c r="U17" s="56">
        <f t="shared" si="4"/>
        <v>0</v>
      </c>
      <c r="V17" s="56">
        <f t="shared" si="4"/>
        <v>0</v>
      </c>
      <c r="W17" s="56">
        <f t="shared" si="4"/>
        <v>0</v>
      </c>
      <c r="X17" s="56">
        <f t="shared" si="4"/>
        <v>0</v>
      </c>
      <c r="Y17" s="56">
        <f t="shared" si="4"/>
        <v>0</v>
      </c>
      <c r="Z17" s="56">
        <f t="shared" si="4"/>
        <v>0</v>
      </c>
      <c r="AA17" s="56">
        <f t="shared" si="4"/>
        <v>0</v>
      </c>
      <c r="AB17" s="56">
        <f t="shared" si="4"/>
        <v>0</v>
      </c>
      <c r="AC17" s="56">
        <f t="shared" si="4"/>
        <v>0</v>
      </c>
      <c r="AD17" s="56">
        <f t="shared" si="4"/>
        <v>0</v>
      </c>
      <c r="AE17" s="56">
        <f t="shared" si="4"/>
        <v>0</v>
      </c>
      <c r="AF17" s="56">
        <f t="shared" si="4"/>
        <v>0</v>
      </c>
      <c r="AG17" s="56">
        <f t="shared" si="4"/>
        <v>0</v>
      </c>
      <c r="AH17" s="56">
        <f t="shared" si="4"/>
        <v>0</v>
      </c>
      <c r="AI17" s="56">
        <f t="shared" si="4"/>
        <v>0</v>
      </c>
      <c r="AJ17" s="56">
        <f t="shared" si="4"/>
        <v>0</v>
      </c>
      <c r="AK17" s="56">
        <f t="shared" si="4"/>
        <v>0</v>
      </c>
      <c r="AL17" s="56">
        <f t="shared" si="4"/>
        <v>0</v>
      </c>
      <c r="AM17" s="56">
        <f t="shared" si="4"/>
        <v>0</v>
      </c>
      <c r="AN17" s="56">
        <f t="shared" si="4"/>
        <v>0</v>
      </c>
      <c r="AO17" s="56">
        <f t="shared" si="4"/>
        <v>0</v>
      </c>
      <c r="AP17" s="56">
        <f t="shared" si="4"/>
        <v>0</v>
      </c>
      <c r="AQ17" s="56">
        <f t="shared" si="4"/>
        <v>0</v>
      </c>
      <c r="AR17" s="56">
        <f t="shared" si="4"/>
        <v>0</v>
      </c>
      <c r="AS17" s="56">
        <f t="shared" si="4"/>
        <v>0</v>
      </c>
      <c r="AT17" s="56">
        <f t="shared" si="4"/>
        <v>0</v>
      </c>
      <c r="AU17" s="56">
        <f t="shared" si="4"/>
        <v>0</v>
      </c>
      <c r="AV17" s="56">
        <f t="shared" si="4"/>
        <v>0</v>
      </c>
      <c r="AW17" s="56">
        <f t="shared" si="4"/>
        <v>0</v>
      </c>
      <c r="AX17" s="56">
        <f t="shared" si="4"/>
        <v>0</v>
      </c>
      <c r="AY17" s="56">
        <f t="shared" si="4"/>
        <v>0</v>
      </c>
      <c r="AZ17" s="56">
        <f t="shared" si="4"/>
        <v>0</v>
      </c>
      <c r="BA17" s="56">
        <f t="shared" si="4"/>
        <v>0</v>
      </c>
      <c r="BB17" s="56">
        <f t="shared" si="4"/>
        <v>0</v>
      </c>
      <c r="BC17" s="56">
        <f t="shared" si="4"/>
        <v>0</v>
      </c>
      <c r="BD17" s="56">
        <f t="shared" si="4"/>
        <v>0</v>
      </c>
      <c r="BE17" s="56">
        <f t="shared" si="4"/>
        <v>0</v>
      </c>
      <c r="BF17" s="56">
        <f t="shared" si="4"/>
        <v>0</v>
      </c>
      <c r="BG17" s="56">
        <f t="shared" si="4"/>
        <v>0</v>
      </c>
      <c r="BH17" s="56">
        <f t="shared" si="4"/>
        <v>0</v>
      </c>
      <c r="BI17" s="56">
        <f t="shared" si="4"/>
        <v>0</v>
      </c>
      <c r="BJ17" s="56">
        <f t="shared" si="4"/>
        <v>0</v>
      </c>
      <c r="BK17" s="56">
        <f t="shared" si="4"/>
        <v>0</v>
      </c>
      <c r="BL17" s="56">
        <f t="shared" si="4"/>
        <v>0</v>
      </c>
    </row>
    <row r="18" spans="4:64" ht="12" customHeight="1">
      <c r="D18" s="57" t="s">
        <v>126</v>
      </c>
      <c r="E18" s="57"/>
      <c r="R18" s="56" t="s">
        <v>119</v>
      </c>
      <c r="S18" s="86">
        <f>IF($J$10="yes",(G10*H10)/-12,S10)</f>
        <v>0</v>
      </c>
      <c r="T18" s="56">
        <f aca="true" t="shared" si="5" ref="T18:BL18">IF($J$10="yes",S10,T10)</f>
        <v>0</v>
      </c>
      <c r="U18" s="56">
        <f t="shared" si="5"/>
        <v>0</v>
      </c>
      <c r="V18" s="56">
        <f t="shared" si="5"/>
        <v>0</v>
      </c>
      <c r="W18" s="56">
        <f t="shared" si="5"/>
        <v>0</v>
      </c>
      <c r="X18" s="56">
        <f t="shared" si="5"/>
        <v>0</v>
      </c>
      <c r="Y18" s="56">
        <f t="shared" si="5"/>
        <v>0</v>
      </c>
      <c r="Z18" s="56">
        <f t="shared" si="5"/>
        <v>0</v>
      </c>
      <c r="AA18" s="56">
        <f t="shared" si="5"/>
        <v>0</v>
      </c>
      <c r="AB18" s="56">
        <f t="shared" si="5"/>
        <v>0</v>
      </c>
      <c r="AC18" s="56">
        <f t="shared" si="5"/>
        <v>0</v>
      </c>
      <c r="AD18" s="56">
        <f t="shared" si="5"/>
        <v>0</v>
      </c>
      <c r="AE18" s="56">
        <f t="shared" si="5"/>
        <v>0</v>
      </c>
      <c r="AF18" s="56">
        <f t="shared" si="5"/>
        <v>0</v>
      </c>
      <c r="AG18" s="56">
        <f t="shared" si="5"/>
        <v>0</v>
      </c>
      <c r="AH18" s="56">
        <f t="shared" si="5"/>
        <v>0</v>
      </c>
      <c r="AI18" s="56">
        <f t="shared" si="5"/>
        <v>0</v>
      </c>
      <c r="AJ18" s="56">
        <f t="shared" si="5"/>
        <v>0</v>
      </c>
      <c r="AK18" s="56">
        <f t="shared" si="5"/>
        <v>0</v>
      </c>
      <c r="AL18" s="56">
        <f t="shared" si="5"/>
        <v>0</v>
      </c>
      <c r="AM18" s="56">
        <f t="shared" si="5"/>
        <v>0</v>
      </c>
      <c r="AN18" s="56">
        <f t="shared" si="5"/>
        <v>0</v>
      </c>
      <c r="AO18" s="56">
        <f t="shared" si="5"/>
        <v>0</v>
      </c>
      <c r="AP18" s="56">
        <f t="shared" si="5"/>
        <v>0</v>
      </c>
      <c r="AQ18" s="56">
        <f t="shared" si="5"/>
        <v>0</v>
      </c>
      <c r="AR18" s="56">
        <f t="shared" si="5"/>
        <v>0</v>
      </c>
      <c r="AS18" s="56">
        <f t="shared" si="5"/>
        <v>0</v>
      </c>
      <c r="AT18" s="56">
        <f t="shared" si="5"/>
        <v>0</v>
      </c>
      <c r="AU18" s="56">
        <f t="shared" si="5"/>
        <v>0</v>
      </c>
      <c r="AV18" s="56">
        <f t="shared" si="5"/>
        <v>0</v>
      </c>
      <c r="AW18" s="56">
        <f t="shared" si="5"/>
        <v>0</v>
      </c>
      <c r="AX18" s="56">
        <f t="shared" si="5"/>
        <v>0</v>
      </c>
      <c r="AY18" s="56">
        <f t="shared" si="5"/>
        <v>0</v>
      </c>
      <c r="AZ18" s="56">
        <f t="shared" si="5"/>
        <v>0</v>
      </c>
      <c r="BA18" s="56">
        <f t="shared" si="5"/>
        <v>0</v>
      </c>
      <c r="BB18" s="56">
        <f t="shared" si="5"/>
        <v>0</v>
      </c>
      <c r="BC18" s="56">
        <f t="shared" si="5"/>
        <v>0</v>
      </c>
      <c r="BD18" s="56">
        <f t="shared" si="5"/>
        <v>0</v>
      </c>
      <c r="BE18" s="56">
        <f t="shared" si="5"/>
        <v>0</v>
      </c>
      <c r="BF18" s="56">
        <f t="shared" si="5"/>
        <v>0</v>
      </c>
      <c r="BG18" s="56">
        <f t="shared" si="5"/>
        <v>0</v>
      </c>
      <c r="BH18" s="56">
        <f t="shared" si="5"/>
        <v>0</v>
      </c>
      <c r="BI18" s="56">
        <f t="shared" si="5"/>
        <v>0</v>
      </c>
      <c r="BJ18" s="56">
        <f t="shared" si="5"/>
        <v>0</v>
      </c>
      <c r="BK18" s="56">
        <f t="shared" si="5"/>
        <v>0</v>
      </c>
      <c r="BL18" s="56">
        <f t="shared" si="5"/>
        <v>0</v>
      </c>
    </row>
    <row r="19" spans="5:64" ht="21" customHeight="1">
      <c r="E19" s="57"/>
      <c r="R19" s="56" t="s">
        <v>121</v>
      </c>
      <c r="S19" s="86">
        <f>IF($J$11="yes",(G11*H11)/-12,S11)</f>
        <v>0</v>
      </c>
      <c r="T19" s="56">
        <f aca="true" t="shared" si="6" ref="T19:BL19">IF($J$11="yes",S11,T11)</f>
        <v>0</v>
      </c>
      <c r="U19" s="56">
        <f t="shared" si="6"/>
        <v>0</v>
      </c>
      <c r="V19" s="56">
        <f t="shared" si="6"/>
        <v>0</v>
      </c>
      <c r="W19" s="56">
        <f t="shared" si="6"/>
        <v>0</v>
      </c>
      <c r="X19" s="56">
        <f t="shared" si="6"/>
        <v>0</v>
      </c>
      <c r="Y19" s="56">
        <f t="shared" si="6"/>
        <v>0</v>
      </c>
      <c r="Z19" s="56">
        <f t="shared" si="6"/>
        <v>0</v>
      </c>
      <c r="AA19" s="56">
        <f t="shared" si="6"/>
        <v>0</v>
      </c>
      <c r="AB19" s="56">
        <f t="shared" si="6"/>
        <v>0</v>
      </c>
      <c r="AC19" s="56">
        <f t="shared" si="6"/>
        <v>0</v>
      </c>
      <c r="AD19" s="56">
        <f t="shared" si="6"/>
        <v>0</v>
      </c>
      <c r="AE19" s="56">
        <f t="shared" si="6"/>
        <v>0</v>
      </c>
      <c r="AF19" s="56">
        <f t="shared" si="6"/>
        <v>0</v>
      </c>
      <c r="AG19" s="56">
        <f t="shared" si="6"/>
        <v>0</v>
      </c>
      <c r="AH19" s="56">
        <f t="shared" si="6"/>
        <v>0</v>
      </c>
      <c r="AI19" s="56">
        <f t="shared" si="6"/>
        <v>0</v>
      </c>
      <c r="AJ19" s="56">
        <f t="shared" si="6"/>
        <v>0</v>
      </c>
      <c r="AK19" s="56">
        <f t="shared" si="6"/>
        <v>0</v>
      </c>
      <c r="AL19" s="56">
        <f t="shared" si="6"/>
        <v>0</v>
      </c>
      <c r="AM19" s="56">
        <f t="shared" si="6"/>
        <v>0</v>
      </c>
      <c r="AN19" s="56">
        <f t="shared" si="6"/>
        <v>0</v>
      </c>
      <c r="AO19" s="56">
        <f t="shared" si="6"/>
        <v>0</v>
      </c>
      <c r="AP19" s="56">
        <f t="shared" si="6"/>
        <v>0</v>
      </c>
      <c r="AQ19" s="56">
        <f t="shared" si="6"/>
        <v>0</v>
      </c>
      <c r="AR19" s="56">
        <f t="shared" si="6"/>
        <v>0</v>
      </c>
      <c r="AS19" s="56">
        <f t="shared" si="6"/>
        <v>0</v>
      </c>
      <c r="AT19" s="56">
        <f t="shared" si="6"/>
        <v>0</v>
      </c>
      <c r="AU19" s="56">
        <f t="shared" si="6"/>
        <v>0</v>
      </c>
      <c r="AV19" s="56">
        <f t="shared" si="6"/>
        <v>0</v>
      </c>
      <c r="AW19" s="56">
        <f t="shared" si="6"/>
        <v>0</v>
      </c>
      <c r="AX19" s="56">
        <f t="shared" si="6"/>
        <v>0</v>
      </c>
      <c r="AY19" s="56">
        <f t="shared" si="6"/>
        <v>0</v>
      </c>
      <c r="AZ19" s="56">
        <f t="shared" si="6"/>
        <v>0</v>
      </c>
      <c r="BA19" s="56">
        <f t="shared" si="6"/>
        <v>0</v>
      </c>
      <c r="BB19" s="56">
        <f t="shared" si="6"/>
        <v>0</v>
      </c>
      <c r="BC19" s="56">
        <f t="shared" si="6"/>
        <v>0</v>
      </c>
      <c r="BD19" s="56">
        <f t="shared" si="6"/>
        <v>0</v>
      </c>
      <c r="BE19" s="56">
        <f t="shared" si="6"/>
        <v>0</v>
      </c>
      <c r="BF19" s="56">
        <f t="shared" si="6"/>
        <v>0</v>
      </c>
      <c r="BG19" s="56">
        <f t="shared" si="6"/>
        <v>0</v>
      </c>
      <c r="BH19" s="56">
        <f t="shared" si="6"/>
        <v>0</v>
      </c>
      <c r="BI19" s="56">
        <f t="shared" si="6"/>
        <v>0</v>
      </c>
      <c r="BJ19" s="56">
        <f t="shared" si="6"/>
        <v>0</v>
      </c>
      <c r="BK19" s="56">
        <f t="shared" si="6"/>
        <v>0</v>
      </c>
      <c r="BL19" s="56">
        <f t="shared" si="6"/>
        <v>0</v>
      </c>
    </row>
    <row r="20" spans="2:18" ht="6.75" customHeight="1">
      <c r="B20" s="103"/>
      <c r="C20" s="103"/>
      <c r="D20" s="104"/>
      <c r="E20" s="104"/>
      <c r="F20" s="103"/>
      <c r="G20" s="105"/>
      <c r="H20" s="106"/>
      <c r="I20" s="107"/>
      <c r="J20" s="107"/>
      <c r="K20" s="105"/>
      <c r="L20" s="105"/>
      <c r="M20" s="105"/>
      <c r="N20" s="103"/>
      <c r="O20" s="103"/>
      <c r="R20" s="92"/>
    </row>
    <row r="21" spans="2:19" ht="18" customHeight="1">
      <c r="B21" s="103"/>
      <c r="D21" s="69" t="s">
        <v>127</v>
      </c>
      <c r="O21" s="103"/>
      <c r="R21" s="108" t="s">
        <v>128</v>
      </c>
      <c r="S21" s="56">
        <f>SUM(S16:S19)*-1</f>
        <v>583.572856443553</v>
      </c>
    </row>
    <row r="22" spans="2:20" ht="12.75" customHeight="1">
      <c r="B22" s="103"/>
      <c r="O22" s="103"/>
      <c r="R22" s="109"/>
      <c r="S22" s="109"/>
      <c r="T22" s="109"/>
    </row>
    <row r="23" spans="2:20" ht="27.75" customHeight="1">
      <c r="B23" s="103"/>
      <c r="D23" s="110" t="s">
        <v>129</v>
      </c>
      <c r="E23" s="72" t="s">
        <v>99</v>
      </c>
      <c r="F23" s="73" t="s">
        <v>100</v>
      </c>
      <c r="G23" s="74" t="s">
        <v>101</v>
      </c>
      <c r="H23" s="75" t="s">
        <v>102</v>
      </c>
      <c r="K23" s="74" t="s">
        <v>105</v>
      </c>
      <c r="L23" s="74" t="s">
        <v>106</v>
      </c>
      <c r="M23" s="74" t="s">
        <v>107</v>
      </c>
      <c r="O23" s="103"/>
      <c r="R23" s="109"/>
      <c r="S23" s="77"/>
      <c r="T23" s="109"/>
    </row>
    <row r="24" spans="2:64" ht="12.75" customHeight="1">
      <c r="B24" s="103"/>
      <c r="O24" s="103"/>
      <c r="R24" s="71"/>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row>
    <row r="25" spans="2:64" ht="15" customHeight="1">
      <c r="B25" s="103"/>
      <c r="D25" s="111"/>
      <c r="E25" s="81">
        <v>1</v>
      </c>
      <c r="F25" s="87"/>
      <c r="G25" s="41">
        <v>1000</v>
      </c>
      <c r="H25" s="112">
        <v>0</v>
      </c>
      <c r="K25" s="38">
        <f>(G25*((1+H25)^E$25))/(E$25*12)</f>
        <v>83.33333333333333</v>
      </c>
      <c r="L25" s="38">
        <f>K25*12</f>
        <v>1000</v>
      </c>
      <c r="M25" s="38">
        <f>K25*12*E$25</f>
        <v>1000</v>
      </c>
      <c r="O25" s="103"/>
      <c r="R25" s="76"/>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2:15" ht="15" customHeight="1">
      <c r="B26" s="103"/>
      <c r="D26" s="111"/>
      <c r="F26" s="87"/>
      <c r="G26" s="41"/>
      <c r="H26" s="112">
        <v>0.01</v>
      </c>
      <c r="K26" s="38">
        <f>(G26*((1+H26)^E$25))/(E$25*12)</f>
        <v>0</v>
      </c>
      <c r="L26" s="38">
        <f>K26*12</f>
        <v>0</v>
      </c>
      <c r="M26" s="38">
        <f>K26*12*E$25</f>
        <v>0</v>
      </c>
      <c r="O26" s="103"/>
    </row>
    <row r="27" spans="2:64" ht="15" customHeight="1">
      <c r="B27" s="103"/>
      <c r="D27" s="111"/>
      <c r="F27" s="87"/>
      <c r="G27" s="41"/>
      <c r="H27" s="112">
        <v>0.02</v>
      </c>
      <c r="K27" s="38">
        <f>(G27*((1+H27)^E$25))/(E$25*12)</f>
        <v>0</v>
      </c>
      <c r="L27" s="38">
        <f>K27*12</f>
        <v>0</v>
      </c>
      <c r="M27" s="38">
        <f>K27*12*E$25</f>
        <v>0</v>
      </c>
      <c r="O27" s="103"/>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2:64" ht="15" customHeight="1">
      <c r="B28" s="103"/>
      <c r="D28" s="111"/>
      <c r="F28" s="87"/>
      <c r="G28" s="41"/>
      <c r="H28" s="112">
        <v>0.03</v>
      </c>
      <c r="K28" s="38">
        <f>(G28*((1+H28)^E$25))/(E$25*12)</f>
        <v>0</v>
      </c>
      <c r="L28" s="38">
        <f>K28*12</f>
        <v>0</v>
      </c>
      <c r="M28" s="38">
        <f>K28*12*E$25</f>
        <v>0</v>
      </c>
      <c r="O28" s="103"/>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2:64" ht="15" customHeight="1">
      <c r="B29" s="103"/>
      <c r="D29" s="111"/>
      <c r="F29" s="87"/>
      <c r="G29" s="41"/>
      <c r="H29" s="112">
        <v>0.04</v>
      </c>
      <c r="K29" s="38">
        <f>(G29*((1+H29)^E$25))/(E$25*12)</f>
        <v>0</v>
      </c>
      <c r="L29" s="38">
        <f>K29*12</f>
        <v>0</v>
      </c>
      <c r="M29" s="38">
        <f>K29*12*E$25</f>
        <v>0</v>
      </c>
      <c r="O29" s="103"/>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2:64" ht="12.75" customHeight="1">
      <c r="B30" s="103"/>
      <c r="D30" s="113"/>
      <c r="F30" s="114" t="str">
        <f>E25&amp;" Year Sub Total"</f>
        <v>1 Year Sub Total</v>
      </c>
      <c r="G30" s="43">
        <f>SUM(G25:G29)</f>
        <v>1000</v>
      </c>
      <c r="H30" s="115"/>
      <c r="K30" s="43">
        <f>SUM(K25:K29)</f>
        <v>83.33333333333333</v>
      </c>
      <c r="L30" s="43">
        <f>SUM(L25:L29)</f>
        <v>1000</v>
      </c>
      <c r="M30" s="43">
        <f>SUM(M25:M29)</f>
        <v>1000</v>
      </c>
      <c r="O30" s="103"/>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row>
    <row r="31" spans="2:64" ht="12.75" customHeight="1">
      <c r="B31" s="103"/>
      <c r="D31" s="113"/>
      <c r="H31" s="116"/>
      <c r="O31" s="103"/>
      <c r="R31" s="56" t="s">
        <v>130</v>
      </c>
      <c r="S31" s="93">
        <f aca="true" t="shared" si="7" ref="S31:BL31">SUM(S33:S40)</f>
        <v>1000</v>
      </c>
      <c r="T31" s="93">
        <f t="shared" si="7"/>
        <v>0</v>
      </c>
      <c r="U31" s="93">
        <f t="shared" si="7"/>
        <v>0</v>
      </c>
      <c r="V31" s="93">
        <f t="shared" si="7"/>
        <v>0</v>
      </c>
      <c r="W31" s="93">
        <f t="shared" si="7"/>
        <v>0</v>
      </c>
      <c r="X31" s="93">
        <f t="shared" si="7"/>
        <v>0</v>
      </c>
      <c r="Y31" s="93">
        <f t="shared" si="7"/>
        <v>0</v>
      </c>
      <c r="Z31" s="93">
        <f t="shared" si="7"/>
        <v>0</v>
      </c>
      <c r="AA31" s="93">
        <f t="shared" si="7"/>
        <v>0</v>
      </c>
      <c r="AB31" s="93">
        <f t="shared" si="7"/>
        <v>0</v>
      </c>
      <c r="AC31" s="93">
        <f t="shared" si="7"/>
        <v>0</v>
      </c>
      <c r="AD31" s="93">
        <f t="shared" si="7"/>
        <v>0</v>
      </c>
      <c r="AE31" s="93">
        <f t="shared" si="7"/>
        <v>0</v>
      </c>
      <c r="AF31" s="93">
        <f t="shared" si="7"/>
        <v>0</v>
      </c>
      <c r="AG31" s="93">
        <f t="shared" si="7"/>
        <v>0</v>
      </c>
      <c r="AH31" s="93">
        <f t="shared" si="7"/>
        <v>0</v>
      </c>
      <c r="AI31" s="93">
        <f t="shared" si="7"/>
        <v>0</v>
      </c>
      <c r="AJ31" s="93">
        <f t="shared" si="7"/>
        <v>0</v>
      </c>
      <c r="AK31" s="93">
        <f t="shared" si="7"/>
        <v>0</v>
      </c>
      <c r="AL31" s="93">
        <f t="shared" si="7"/>
        <v>0</v>
      </c>
      <c r="AM31" s="93">
        <f t="shared" si="7"/>
        <v>0</v>
      </c>
      <c r="AN31" s="93">
        <f t="shared" si="7"/>
        <v>0</v>
      </c>
      <c r="AO31" s="93">
        <f t="shared" si="7"/>
        <v>0</v>
      </c>
      <c r="AP31" s="93">
        <f t="shared" si="7"/>
        <v>0</v>
      </c>
      <c r="AQ31" s="93">
        <f t="shared" si="7"/>
        <v>0</v>
      </c>
      <c r="AR31" s="93">
        <f t="shared" si="7"/>
        <v>0</v>
      </c>
      <c r="AS31" s="93">
        <f t="shared" si="7"/>
        <v>0</v>
      </c>
      <c r="AT31" s="93">
        <f t="shared" si="7"/>
        <v>0</v>
      </c>
      <c r="AU31" s="93">
        <f t="shared" si="7"/>
        <v>0</v>
      </c>
      <c r="AV31" s="93">
        <f t="shared" si="7"/>
        <v>0</v>
      </c>
      <c r="AW31" s="93">
        <f t="shared" si="7"/>
        <v>0</v>
      </c>
      <c r="AX31" s="93">
        <f t="shared" si="7"/>
        <v>0</v>
      </c>
      <c r="AY31" s="93">
        <f t="shared" si="7"/>
        <v>0</v>
      </c>
      <c r="AZ31" s="93">
        <f t="shared" si="7"/>
        <v>0</v>
      </c>
      <c r="BA31" s="93">
        <f t="shared" si="7"/>
        <v>0</v>
      </c>
      <c r="BB31" s="93">
        <f t="shared" si="7"/>
        <v>0</v>
      </c>
      <c r="BC31" s="93">
        <f t="shared" si="7"/>
        <v>0</v>
      </c>
      <c r="BD31" s="93">
        <f t="shared" si="7"/>
        <v>0</v>
      </c>
      <c r="BE31" s="93">
        <f t="shared" si="7"/>
        <v>0</v>
      </c>
      <c r="BF31" s="93">
        <f t="shared" si="7"/>
        <v>0</v>
      </c>
      <c r="BG31" s="93">
        <f t="shared" si="7"/>
        <v>0</v>
      </c>
      <c r="BH31" s="93">
        <f t="shared" si="7"/>
        <v>0</v>
      </c>
      <c r="BI31" s="93">
        <f t="shared" si="7"/>
        <v>0</v>
      </c>
      <c r="BJ31" s="93">
        <f t="shared" si="7"/>
        <v>0</v>
      </c>
      <c r="BK31" s="93">
        <f t="shared" si="7"/>
        <v>0</v>
      </c>
      <c r="BL31" s="93">
        <f t="shared" si="7"/>
        <v>0</v>
      </c>
    </row>
    <row r="32" spans="2:64" ht="15" customHeight="1">
      <c r="B32" s="103"/>
      <c r="D32" s="111"/>
      <c r="E32" s="81">
        <v>5</v>
      </c>
      <c r="F32" s="87"/>
      <c r="G32" s="41"/>
      <c r="H32" s="112">
        <v>0</v>
      </c>
      <c r="K32" s="38">
        <f>(G32*((1+H32)^E32))/(E32*12)</f>
        <v>0</v>
      </c>
      <c r="L32" s="38">
        <f>K32*12</f>
        <v>0</v>
      </c>
      <c r="M32" s="38">
        <f>K32*12*E$32</f>
        <v>0</v>
      </c>
      <c r="O32" s="103"/>
      <c r="R32" s="56" t="s">
        <v>98</v>
      </c>
      <c r="S32" s="57">
        <v>1</v>
      </c>
      <c r="T32" s="57">
        <f aca="true" t="shared" si="8" ref="T32:BL32">S32+1</f>
        <v>2</v>
      </c>
      <c r="U32" s="57">
        <f t="shared" si="8"/>
        <v>3</v>
      </c>
      <c r="V32" s="57">
        <f t="shared" si="8"/>
        <v>4</v>
      </c>
      <c r="W32" s="57">
        <f t="shared" si="8"/>
        <v>5</v>
      </c>
      <c r="X32" s="57">
        <f t="shared" si="8"/>
        <v>6</v>
      </c>
      <c r="Y32" s="57">
        <f t="shared" si="8"/>
        <v>7</v>
      </c>
      <c r="Z32" s="57">
        <f t="shared" si="8"/>
        <v>8</v>
      </c>
      <c r="AA32" s="57">
        <f t="shared" si="8"/>
        <v>9</v>
      </c>
      <c r="AB32" s="57">
        <f t="shared" si="8"/>
        <v>10</v>
      </c>
      <c r="AC32" s="57">
        <f t="shared" si="8"/>
        <v>11</v>
      </c>
      <c r="AD32" s="57">
        <f t="shared" si="8"/>
        <v>12</v>
      </c>
      <c r="AE32" s="57">
        <f t="shared" si="8"/>
        <v>13</v>
      </c>
      <c r="AF32" s="57">
        <f t="shared" si="8"/>
        <v>14</v>
      </c>
      <c r="AG32" s="57">
        <f t="shared" si="8"/>
        <v>15</v>
      </c>
      <c r="AH32" s="57">
        <f t="shared" si="8"/>
        <v>16</v>
      </c>
      <c r="AI32" s="57">
        <f t="shared" si="8"/>
        <v>17</v>
      </c>
      <c r="AJ32" s="57">
        <f t="shared" si="8"/>
        <v>18</v>
      </c>
      <c r="AK32" s="57">
        <f t="shared" si="8"/>
        <v>19</v>
      </c>
      <c r="AL32" s="57">
        <f t="shared" si="8"/>
        <v>20</v>
      </c>
      <c r="AM32" s="57">
        <f t="shared" si="8"/>
        <v>21</v>
      </c>
      <c r="AN32" s="57">
        <f t="shared" si="8"/>
        <v>22</v>
      </c>
      <c r="AO32" s="57">
        <f t="shared" si="8"/>
        <v>23</v>
      </c>
      <c r="AP32" s="57">
        <f t="shared" si="8"/>
        <v>24</v>
      </c>
      <c r="AQ32" s="57">
        <f t="shared" si="8"/>
        <v>25</v>
      </c>
      <c r="AR32" s="57">
        <f t="shared" si="8"/>
        <v>26</v>
      </c>
      <c r="AS32" s="57">
        <f t="shared" si="8"/>
        <v>27</v>
      </c>
      <c r="AT32" s="57">
        <f t="shared" si="8"/>
        <v>28</v>
      </c>
      <c r="AU32" s="57">
        <f t="shared" si="8"/>
        <v>29</v>
      </c>
      <c r="AV32" s="57">
        <f t="shared" si="8"/>
        <v>30</v>
      </c>
      <c r="AW32" s="57">
        <f t="shared" si="8"/>
        <v>31</v>
      </c>
      <c r="AX32" s="57">
        <f t="shared" si="8"/>
        <v>32</v>
      </c>
      <c r="AY32" s="57">
        <f t="shared" si="8"/>
        <v>33</v>
      </c>
      <c r="AZ32" s="57">
        <f t="shared" si="8"/>
        <v>34</v>
      </c>
      <c r="BA32" s="57">
        <f t="shared" si="8"/>
        <v>35</v>
      </c>
      <c r="BB32" s="57">
        <f t="shared" si="8"/>
        <v>36</v>
      </c>
      <c r="BC32" s="57">
        <f t="shared" si="8"/>
        <v>37</v>
      </c>
      <c r="BD32" s="57">
        <f t="shared" si="8"/>
        <v>38</v>
      </c>
      <c r="BE32" s="57">
        <f t="shared" si="8"/>
        <v>39</v>
      </c>
      <c r="BF32" s="57">
        <f t="shared" si="8"/>
        <v>40</v>
      </c>
      <c r="BG32" s="57">
        <f t="shared" si="8"/>
        <v>41</v>
      </c>
      <c r="BH32" s="57">
        <f t="shared" si="8"/>
        <v>42</v>
      </c>
      <c r="BI32" s="57">
        <f t="shared" si="8"/>
        <v>43</v>
      </c>
      <c r="BJ32" s="57">
        <f t="shared" si="8"/>
        <v>44</v>
      </c>
      <c r="BK32" s="57">
        <f t="shared" si="8"/>
        <v>45</v>
      </c>
      <c r="BL32" s="57">
        <f t="shared" si="8"/>
        <v>46</v>
      </c>
    </row>
    <row r="33" spans="2:64" ht="15" customHeight="1">
      <c r="B33" s="103"/>
      <c r="D33" s="111"/>
      <c r="F33" s="87"/>
      <c r="G33" s="41"/>
      <c r="H33" s="112">
        <v>0.01</v>
      </c>
      <c r="K33" s="38">
        <f>(G33*((1+H33)^E$32))/(E$32*12)</f>
        <v>0</v>
      </c>
      <c r="L33" s="38">
        <f>K33*12</f>
        <v>0</v>
      </c>
      <c r="M33" s="38">
        <f>K33*12*E$32</f>
        <v>0</v>
      </c>
      <c r="O33" s="103"/>
      <c r="R33" s="56" t="s">
        <v>131</v>
      </c>
      <c r="S33" s="56">
        <f aca="true" t="shared" si="9" ref="S33:BL33">IF(S$32=$E25,$M$30,"")</f>
        <v>1000</v>
      </c>
      <c r="T33" s="56">
        <f t="shared" si="9"/>
      </c>
      <c r="U33" s="56">
        <f t="shared" si="9"/>
      </c>
      <c r="V33" s="56">
        <f t="shared" si="9"/>
      </c>
      <c r="W33" s="56">
        <f t="shared" si="9"/>
      </c>
      <c r="X33" s="56">
        <f t="shared" si="9"/>
      </c>
      <c r="Y33" s="56">
        <f t="shared" si="9"/>
      </c>
      <c r="Z33" s="56">
        <f t="shared" si="9"/>
      </c>
      <c r="AA33" s="56">
        <f t="shared" si="9"/>
      </c>
      <c r="AB33" s="56">
        <f t="shared" si="9"/>
      </c>
      <c r="AC33" s="56">
        <f t="shared" si="9"/>
      </c>
      <c r="AD33" s="56">
        <f t="shared" si="9"/>
      </c>
      <c r="AE33" s="56">
        <f t="shared" si="9"/>
      </c>
      <c r="AF33" s="56">
        <f t="shared" si="9"/>
      </c>
      <c r="AG33" s="56">
        <f t="shared" si="9"/>
      </c>
      <c r="AH33" s="56">
        <f t="shared" si="9"/>
      </c>
      <c r="AI33" s="56">
        <f t="shared" si="9"/>
      </c>
      <c r="AJ33" s="56">
        <f t="shared" si="9"/>
      </c>
      <c r="AK33" s="56">
        <f t="shared" si="9"/>
      </c>
      <c r="AL33" s="56">
        <f t="shared" si="9"/>
      </c>
      <c r="AM33" s="56">
        <f t="shared" si="9"/>
      </c>
      <c r="AN33" s="56">
        <f t="shared" si="9"/>
      </c>
      <c r="AO33" s="56">
        <f t="shared" si="9"/>
      </c>
      <c r="AP33" s="56">
        <f t="shared" si="9"/>
      </c>
      <c r="AQ33" s="56">
        <f t="shared" si="9"/>
      </c>
      <c r="AR33" s="56">
        <f t="shared" si="9"/>
      </c>
      <c r="AS33" s="56">
        <f t="shared" si="9"/>
      </c>
      <c r="AT33" s="56">
        <f t="shared" si="9"/>
      </c>
      <c r="AU33" s="56">
        <f t="shared" si="9"/>
      </c>
      <c r="AV33" s="56">
        <f t="shared" si="9"/>
      </c>
      <c r="AW33" s="56">
        <f t="shared" si="9"/>
      </c>
      <c r="AX33" s="56">
        <f t="shared" si="9"/>
      </c>
      <c r="AY33" s="56">
        <f t="shared" si="9"/>
      </c>
      <c r="AZ33" s="56">
        <f t="shared" si="9"/>
      </c>
      <c r="BA33" s="56">
        <f t="shared" si="9"/>
      </c>
      <c r="BB33" s="56">
        <f t="shared" si="9"/>
      </c>
      <c r="BC33" s="56">
        <f t="shared" si="9"/>
      </c>
      <c r="BD33" s="56">
        <f t="shared" si="9"/>
      </c>
      <c r="BE33" s="56">
        <f t="shared" si="9"/>
      </c>
      <c r="BF33" s="56">
        <f t="shared" si="9"/>
      </c>
      <c r="BG33" s="56">
        <f t="shared" si="9"/>
      </c>
      <c r="BH33" s="56">
        <f t="shared" si="9"/>
      </c>
      <c r="BI33" s="56">
        <f t="shared" si="9"/>
      </c>
      <c r="BJ33" s="56">
        <f t="shared" si="9"/>
      </c>
      <c r="BK33" s="56">
        <f t="shared" si="9"/>
      </c>
      <c r="BL33" s="56">
        <f t="shared" si="9"/>
      </c>
    </row>
    <row r="34" spans="2:64" ht="15" customHeight="1">
      <c r="B34" s="103"/>
      <c r="D34" s="111"/>
      <c r="F34" s="87"/>
      <c r="G34" s="41"/>
      <c r="H34" s="112">
        <v>0.02</v>
      </c>
      <c r="K34" s="38">
        <f>(G34*((1+H34)^E$32))/(E$32*12)</f>
        <v>0</v>
      </c>
      <c r="L34" s="38">
        <f>K34*12</f>
        <v>0</v>
      </c>
      <c r="M34" s="38">
        <f>K34*12*E$32</f>
        <v>0</v>
      </c>
      <c r="O34" s="103"/>
      <c r="R34" s="56" t="s">
        <v>132</v>
      </c>
      <c r="S34" s="56">
        <f aca="true" t="shared" si="10" ref="S34:BL34">IF(S$32=$E32,$M$37,"")</f>
      </c>
      <c r="T34" s="56">
        <f t="shared" si="10"/>
      </c>
      <c r="U34" s="56">
        <f t="shared" si="10"/>
      </c>
      <c r="V34" s="56">
        <f t="shared" si="10"/>
      </c>
      <c r="W34" s="56">
        <f t="shared" si="10"/>
        <v>0</v>
      </c>
      <c r="X34" s="56">
        <f t="shared" si="10"/>
      </c>
      <c r="Y34" s="56">
        <f t="shared" si="10"/>
      </c>
      <c r="Z34" s="56">
        <f t="shared" si="10"/>
      </c>
      <c r="AA34" s="56">
        <f t="shared" si="10"/>
      </c>
      <c r="AB34" s="56">
        <f t="shared" si="10"/>
      </c>
      <c r="AC34" s="56">
        <f t="shared" si="10"/>
      </c>
      <c r="AD34" s="56">
        <f t="shared" si="10"/>
      </c>
      <c r="AE34" s="56">
        <f t="shared" si="10"/>
      </c>
      <c r="AF34" s="56">
        <f t="shared" si="10"/>
      </c>
      <c r="AG34" s="56">
        <f t="shared" si="10"/>
      </c>
      <c r="AH34" s="56">
        <f t="shared" si="10"/>
      </c>
      <c r="AI34" s="56">
        <f t="shared" si="10"/>
      </c>
      <c r="AJ34" s="56">
        <f t="shared" si="10"/>
      </c>
      <c r="AK34" s="56">
        <f t="shared" si="10"/>
      </c>
      <c r="AL34" s="56">
        <f t="shared" si="10"/>
      </c>
      <c r="AM34" s="56">
        <f t="shared" si="10"/>
      </c>
      <c r="AN34" s="56">
        <f t="shared" si="10"/>
      </c>
      <c r="AO34" s="56">
        <f t="shared" si="10"/>
      </c>
      <c r="AP34" s="56">
        <f t="shared" si="10"/>
      </c>
      <c r="AQ34" s="56">
        <f t="shared" si="10"/>
      </c>
      <c r="AR34" s="56">
        <f t="shared" si="10"/>
      </c>
      <c r="AS34" s="56">
        <f t="shared" si="10"/>
      </c>
      <c r="AT34" s="56">
        <f t="shared" si="10"/>
      </c>
      <c r="AU34" s="56">
        <f t="shared" si="10"/>
      </c>
      <c r="AV34" s="56">
        <f t="shared" si="10"/>
      </c>
      <c r="AW34" s="56">
        <f t="shared" si="10"/>
      </c>
      <c r="AX34" s="56">
        <f t="shared" si="10"/>
      </c>
      <c r="AY34" s="56">
        <f t="shared" si="10"/>
      </c>
      <c r="AZ34" s="56">
        <f t="shared" si="10"/>
      </c>
      <c r="BA34" s="56">
        <f t="shared" si="10"/>
      </c>
      <c r="BB34" s="56">
        <f t="shared" si="10"/>
      </c>
      <c r="BC34" s="56">
        <f t="shared" si="10"/>
      </c>
      <c r="BD34" s="56">
        <f t="shared" si="10"/>
      </c>
      <c r="BE34" s="56">
        <f t="shared" si="10"/>
      </c>
      <c r="BF34" s="56">
        <f t="shared" si="10"/>
      </c>
      <c r="BG34" s="56">
        <f t="shared" si="10"/>
      </c>
      <c r="BH34" s="56">
        <f t="shared" si="10"/>
      </c>
      <c r="BI34" s="56">
        <f t="shared" si="10"/>
      </c>
      <c r="BJ34" s="56">
        <f t="shared" si="10"/>
      </c>
      <c r="BK34" s="56">
        <f t="shared" si="10"/>
      </c>
      <c r="BL34" s="56">
        <f t="shared" si="10"/>
      </c>
    </row>
    <row r="35" spans="2:64" ht="15" customHeight="1">
      <c r="B35" s="103"/>
      <c r="D35" s="111"/>
      <c r="F35" s="87"/>
      <c r="G35" s="41"/>
      <c r="H35" s="112">
        <v>0.03</v>
      </c>
      <c r="K35" s="38">
        <f>(G35*((1+H35)^E$32))/(E$32*12)</f>
        <v>0</v>
      </c>
      <c r="L35" s="38">
        <f>K35*12</f>
        <v>0</v>
      </c>
      <c r="M35" s="38">
        <f>K35*12*E$32</f>
        <v>0</v>
      </c>
      <c r="O35" s="103"/>
      <c r="R35" s="56" t="s">
        <v>133</v>
      </c>
      <c r="S35" s="56">
        <f aca="true" t="shared" si="11" ref="S35:BL35">IF(S$32=$E39,$M$44,"")</f>
      </c>
      <c r="T35" s="56">
        <f t="shared" si="11"/>
      </c>
      <c r="U35" s="56">
        <f t="shared" si="11"/>
      </c>
      <c r="V35" s="56">
        <f t="shared" si="11"/>
      </c>
      <c r="W35" s="56">
        <f t="shared" si="11"/>
      </c>
      <c r="X35" s="56">
        <f t="shared" si="11"/>
      </c>
      <c r="Y35" s="56">
        <f t="shared" si="11"/>
      </c>
      <c r="Z35" s="56">
        <f t="shared" si="11"/>
      </c>
      <c r="AA35" s="56">
        <f t="shared" si="11"/>
      </c>
      <c r="AB35" s="56">
        <f t="shared" si="11"/>
        <v>0</v>
      </c>
      <c r="AC35" s="56">
        <f t="shared" si="11"/>
      </c>
      <c r="AD35" s="56">
        <f t="shared" si="11"/>
      </c>
      <c r="AE35" s="56">
        <f t="shared" si="11"/>
      </c>
      <c r="AF35" s="56">
        <f t="shared" si="11"/>
      </c>
      <c r="AG35" s="56">
        <f t="shared" si="11"/>
      </c>
      <c r="AH35" s="56">
        <f t="shared" si="11"/>
      </c>
      <c r="AI35" s="56">
        <f t="shared" si="11"/>
      </c>
      <c r="AJ35" s="56">
        <f t="shared" si="11"/>
      </c>
      <c r="AK35" s="56">
        <f t="shared" si="11"/>
      </c>
      <c r="AL35" s="56">
        <f t="shared" si="11"/>
      </c>
      <c r="AM35" s="56">
        <f t="shared" si="11"/>
      </c>
      <c r="AN35" s="56">
        <f t="shared" si="11"/>
      </c>
      <c r="AO35" s="56">
        <f t="shared" si="11"/>
      </c>
      <c r="AP35" s="56">
        <f t="shared" si="11"/>
      </c>
      <c r="AQ35" s="56">
        <f t="shared" si="11"/>
      </c>
      <c r="AR35" s="56">
        <f t="shared" si="11"/>
      </c>
      <c r="AS35" s="56">
        <f t="shared" si="11"/>
      </c>
      <c r="AT35" s="56">
        <f t="shared" si="11"/>
      </c>
      <c r="AU35" s="56">
        <f t="shared" si="11"/>
      </c>
      <c r="AV35" s="56">
        <f t="shared" si="11"/>
      </c>
      <c r="AW35" s="56">
        <f t="shared" si="11"/>
      </c>
      <c r="AX35" s="56">
        <f t="shared" si="11"/>
      </c>
      <c r="AY35" s="56">
        <f t="shared" si="11"/>
      </c>
      <c r="AZ35" s="56">
        <f t="shared" si="11"/>
      </c>
      <c r="BA35" s="56">
        <f t="shared" si="11"/>
      </c>
      <c r="BB35" s="56">
        <f t="shared" si="11"/>
      </c>
      <c r="BC35" s="56">
        <f t="shared" si="11"/>
      </c>
      <c r="BD35" s="56">
        <f t="shared" si="11"/>
      </c>
      <c r="BE35" s="56">
        <f t="shared" si="11"/>
      </c>
      <c r="BF35" s="56">
        <f t="shared" si="11"/>
      </c>
      <c r="BG35" s="56">
        <f t="shared" si="11"/>
      </c>
      <c r="BH35" s="56">
        <f t="shared" si="11"/>
      </c>
      <c r="BI35" s="56">
        <f t="shared" si="11"/>
      </c>
      <c r="BJ35" s="56">
        <f t="shared" si="11"/>
      </c>
      <c r="BK35" s="56">
        <f t="shared" si="11"/>
      </c>
      <c r="BL35" s="56">
        <f t="shared" si="11"/>
      </c>
    </row>
    <row r="36" spans="2:64" ht="15" customHeight="1">
      <c r="B36" s="103"/>
      <c r="D36" s="111"/>
      <c r="F36" s="87"/>
      <c r="G36" s="41"/>
      <c r="H36" s="112">
        <v>0.04</v>
      </c>
      <c r="K36" s="38">
        <f>(G36*((1+H36)^E$32))/(E$32*12)</f>
        <v>0</v>
      </c>
      <c r="L36" s="38">
        <f>K36*12</f>
        <v>0</v>
      </c>
      <c r="M36" s="38">
        <f>K36*12*E$32</f>
        <v>0</v>
      </c>
      <c r="O36" s="103"/>
      <c r="R36" s="56" t="s">
        <v>134</v>
      </c>
      <c r="S36" s="56">
        <f aca="true" t="shared" si="12" ref="S36:BL36">IF(S$32=$E46,$M$51,"")</f>
      </c>
      <c r="T36" s="56">
        <f t="shared" si="12"/>
      </c>
      <c r="U36" s="56">
        <f t="shared" si="12"/>
      </c>
      <c r="V36" s="56">
        <f t="shared" si="12"/>
      </c>
      <c r="W36" s="56">
        <f t="shared" si="12"/>
      </c>
      <c r="X36" s="56">
        <f t="shared" si="12"/>
      </c>
      <c r="Y36" s="56">
        <f t="shared" si="12"/>
      </c>
      <c r="Z36" s="56">
        <f t="shared" si="12"/>
      </c>
      <c r="AA36" s="56">
        <f t="shared" si="12"/>
      </c>
      <c r="AB36" s="56">
        <f t="shared" si="12"/>
      </c>
      <c r="AC36" s="56">
        <f t="shared" si="12"/>
      </c>
      <c r="AD36" s="56">
        <f t="shared" si="12"/>
      </c>
      <c r="AE36" s="56">
        <f t="shared" si="12"/>
      </c>
      <c r="AF36" s="56">
        <f t="shared" si="12"/>
      </c>
      <c r="AG36" s="56">
        <f t="shared" si="12"/>
        <v>0</v>
      </c>
      <c r="AH36" s="56">
        <f t="shared" si="12"/>
      </c>
      <c r="AI36" s="56">
        <f t="shared" si="12"/>
      </c>
      <c r="AJ36" s="56">
        <f t="shared" si="12"/>
      </c>
      <c r="AK36" s="56">
        <f t="shared" si="12"/>
      </c>
      <c r="AL36" s="56">
        <f t="shared" si="12"/>
      </c>
      <c r="AM36" s="56">
        <f t="shared" si="12"/>
      </c>
      <c r="AN36" s="56">
        <f t="shared" si="12"/>
      </c>
      <c r="AO36" s="56">
        <f t="shared" si="12"/>
      </c>
      <c r="AP36" s="56">
        <f t="shared" si="12"/>
      </c>
      <c r="AQ36" s="56">
        <f t="shared" si="12"/>
      </c>
      <c r="AR36" s="56">
        <f t="shared" si="12"/>
      </c>
      <c r="AS36" s="56">
        <f t="shared" si="12"/>
      </c>
      <c r="AT36" s="56">
        <f t="shared" si="12"/>
      </c>
      <c r="AU36" s="56">
        <f t="shared" si="12"/>
      </c>
      <c r="AV36" s="56">
        <f t="shared" si="12"/>
      </c>
      <c r="AW36" s="56">
        <f t="shared" si="12"/>
      </c>
      <c r="AX36" s="56">
        <f t="shared" si="12"/>
      </c>
      <c r="AY36" s="56">
        <f t="shared" si="12"/>
      </c>
      <c r="AZ36" s="56">
        <f t="shared" si="12"/>
      </c>
      <c r="BA36" s="56">
        <f t="shared" si="12"/>
      </c>
      <c r="BB36" s="56">
        <f t="shared" si="12"/>
      </c>
      <c r="BC36" s="56">
        <f t="shared" si="12"/>
      </c>
      <c r="BD36" s="56">
        <f t="shared" si="12"/>
      </c>
      <c r="BE36" s="56">
        <f t="shared" si="12"/>
      </c>
      <c r="BF36" s="56">
        <f t="shared" si="12"/>
      </c>
      <c r="BG36" s="56">
        <f t="shared" si="12"/>
      </c>
      <c r="BH36" s="56">
        <f t="shared" si="12"/>
      </c>
      <c r="BI36" s="56">
        <f t="shared" si="12"/>
      </c>
      <c r="BJ36" s="56">
        <f t="shared" si="12"/>
      </c>
      <c r="BK36" s="56">
        <f t="shared" si="12"/>
      </c>
      <c r="BL36" s="56">
        <f t="shared" si="12"/>
      </c>
    </row>
    <row r="37" spans="2:64" ht="12.75" customHeight="1">
      <c r="B37" s="103"/>
      <c r="D37" s="113"/>
      <c r="F37" s="114" t="str">
        <f>E32&amp;" Year Sub Total"</f>
        <v>5 Year Sub Total</v>
      </c>
      <c r="G37" s="43">
        <f>SUM(G32:G36)</f>
        <v>0</v>
      </c>
      <c r="H37" s="115"/>
      <c r="K37" s="43">
        <f>SUM(K32:K36)</f>
        <v>0</v>
      </c>
      <c r="L37" s="43">
        <f>SUM(L32:L36)</f>
        <v>0</v>
      </c>
      <c r="M37" s="43">
        <f>SUM(M32:M36)</f>
        <v>0</v>
      </c>
      <c r="O37" s="103"/>
      <c r="R37" s="56" t="s">
        <v>135</v>
      </c>
      <c r="S37" s="56">
        <f aca="true" t="shared" si="13" ref="S37:BL37">IF(S$32=$E53,$M$58,"")</f>
      </c>
      <c r="T37" s="56">
        <f t="shared" si="13"/>
      </c>
      <c r="U37" s="56">
        <f t="shared" si="13"/>
      </c>
      <c r="V37" s="56">
        <f t="shared" si="13"/>
      </c>
      <c r="W37" s="56">
        <f t="shared" si="13"/>
      </c>
      <c r="X37" s="56">
        <f t="shared" si="13"/>
      </c>
      <c r="Y37" s="56">
        <f t="shared" si="13"/>
      </c>
      <c r="Z37" s="56">
        <f t="shared" si="13"/>
      </c>
      <c r="AA37" s="56">
        <f t="shared" si="13"/>
      </c>
      <c r="AB37" s="56">
        <f t="shared" si="13"/>
      </c>
      <c r="AC37" s="56">
        <f t="shared" si="13"/>
      </c>
      <c r="AD37" s="56">
        <f t="shared" si="13"/>
      </c>
      <c r="AE37" s="56">
        <f t="shared" si="13"/>
      </c>
      <c r="AF37" s="56">
        <f t="shared" si="13"/>
      </c>
      <c r="AG37" s="56">
        <f t="shared" si="13"/>
      </c>
      <c r="AH37" s="56">
        <f t="shared" si="13"/>
      </c>
      <c r="AI37" s="56">
        <f t="shared" si="13"/>
      </c>
      <c r="AJ37" s="56">
        <f t="shared" si="13"/>
      </c>
      <c r="AK37" s="56">
        <f t="shared" si="13"/>
      </c>
      <c r="AL37" s="56">
        <f t="shared" si="13"/>
        <v>0</v>
      </c>
      <c r="AM37" s="56">
        <f t="shared" si="13"/>
      </c>
      <c r="AN37" s="56">
        <f t="shared" si="13"/>
      </c>
      <c r="AO37" s="56">
        <f t="shared" si="13"/>
      </c>
      <c r="AP37" s="56">
        <f t="shared" si="13"/>
      </c>
      <c r="AQ37" s="56">
        <f t="shared" si="13"/>
      </c>
      <c r="AR37" s="56">
        <f t="shared" si="13"/>
      </c>
      <c r="AS37" s="56">
        <f t="shared" si="13"/>
      </c>
      <c r="AT37" s="56">
        <f t="shared" si="13"/>
      </c>
      <c r="AU37" s="56">
        <f t="shared" si="13"/>
      </c>
      <c r="AV37" s="56">
        <f t="shared" si="13"/>
      </c>
      <c r="AW37" s="56">
        <f t="shared" si="13"/>
      </c>
      <c r="AX37" s="56">
        <f t="shared" si="13"/>
      </c>
      <c r="AY37" s="56">
        <f t="shared" si="13"/>
      </c>
      <c r="AZ37" s="56">
        <f t="shared" si="13"/>
      </c>
      <c r="BA37" s="56">
        <f t="shared" si="13"/>
      </c>
      <c r="BB37" s="56">
        <f t="shared" si="13"/>
      </c>
      <c r="BC37" s="56">
        <f t="shared" si="13"/>
      </c>
      <c r="BD37" s="56">
        <f t="shared" si="13"/>
      </c>
      <c r="BE37" s="56">
        <f t="shared" si="13"/>
      </c>
      <c r="BF37" s="56">
        <f t="shared" si="13"/>
      </c>
      <c r="BG37" s="56">
        <f t="shared" si="13"/>
      </c>
      <c r="BH37" s="56">
        <f t="shared" si="13"/>
      </c>
      <c r="BI37" s="56">
        <f t="shared" si="13"/>
      </c>
      <c r="BJ37" s="56">
        <f t="shared" si="13"/>
      </c>
      <c r="BK37" s="56">
        <f t="shared" si="13"/>
      </c>
      <c r="BL37" s="56">
        <f t="shared" si="13"/>
      </c>
    </row>
    <row r="38" spans="2:64" ht="12.75" customHeight="1">
      <c r="B38" s="103"/>
      <c r="D38" s="113"/>
      <c r="H38" s="116"/>
      <c r="O38" s="103"/>
      <c r="R38" s="56" t="s">
        <v>136</v>
      </c>
      <c r="S38" s="56">
        <f aca="true" t="shared" si="14" ref="S38:BL38">IF(S$32=$E60,$M$65,"")</f>
      </c>
      <c r="T38" s="56">
        <f t="shared" si="14"/>
      </c>
      <c r="U38" s="56">
        <f t="shared" si="14"/>
      </c>
      <c r="V38" s="56">
        <f t="shared" si="14"/>
      </c>
      <c r="W38" s="56">
        <f t="shared" si="14"/>
      </c>
      <c r="X38" s="56">
        <f t="shared" si="14"/>
      </c>
      <c r="Y38" s="56">
        <f t="shared" si="14"/>
      </c>
      <c r="Z38" s="56">
        <f t="shared" si="14"/>
      </c>
      <c r="AA38" s="56">
        <f t="shared" si="14"/>
      </c>
      <c r="AB38" s="56">
        <f t="shared" si="14"/>
      </c>
      <c r="AC38" s="56">
        <f t="shared" si="14"/>
      </c>
      <c r="AD38" s="56">
        <f t="shared" si="14"/>
      </c>
      <c r="AE38" s="56">
        <f t="shared" si="14"/>
      </c>
      <c r="AF38" s="56">
        <f t="shared" si="14"/>
      </c>
      <c r="AG38" s="56">
        <f t="shared" si="14"/>
      </c>
      <c r="AH38" s="56">
        <f t="shared" si="14"/>
      </c>
      <c r="AI38" s="56">
        <f t="shared" si="14"/>
      </c>
      <c r="AJ38" s="56">
        <f t="shared" si="14"/>
      </c>
      <c r="AK38" s="56">
        <f t="shared" si="14"/>
      </c>
      <c r="AL38" s="56">
        <f t="shared" si="14"/>
      </c>
      <c r="AM38" s="56">
        <f t="shared" si="14"/>
      </c>
      <c r="AN38" s="56">
        <f t="shared" si="14"/>
      </c>
      <c r="AO38" s="56">
        <f t="shared" si="14"/>
      </c>
      <c r="AP38" s="56">
        <f t="shared" si="14"/>
      </c>
      <c r="AQ38" s="56">
        <f t="shared" si="14"/>
        <v>0</v>
      </c>
      <c r="AR38" s="56">
        <f t="shared" si="14"/>
      </c>
      <c r="AS38" s="56">
        <f t="shared" si="14"/>
      </c>
      <c r="AT38" s="56">
        <f t="shared" si="14"/>
      </c>
      <c r="AU38" s="56">
        <f t="shared" si="14"/>
      </c>
      <c r="AV38" s="56">
        <f t="shared" si="14"/>
      </c>
      <c r="AW38" s="56">
        <f t="shared" si="14"/>
      </c>
      <c r="AX38" s="56">
        <f t="shared" si="14"/>
      </c>
      <c r="AY38" s="56">
        <f t="shared" si="14"/>
      </c>
      <c r="AZ38" s="56">
        <f t="shared" si="14"/>
      </c>
      <c r="BA38" s="56">
        <f t="shared" si="14"/>
      </c>
      <c r="BB38" s="56">
        <f t="shared" si="14"/>
      </c>
      <c r="BC38" s="56">
        <f t="shared" si="14"/>
      </c>
      <c r="BD38" s="56">
        <f t="shared" si="14"/>
      </c>
      <c r="BE38" s="56">
        <f t="shared" si="14"/>
      </c>
      <c r="BF38" s="56">
        <f t="shared" si="14"/>
      </c>
      <c r="BG38" s="56">
        <f t="shared" si="14"/>
      </c>
      <c r="BH38" s="56">
        <f t="shared" si="14"/>
      </c>
      <c r="BI38" s="56">
        <f t="shared" si="14"/>
      </c>
      <c r="BJ38" s="56">
        <f t="shared" si="14"/>
      </c>
      <c r="BK38" s="56">
        <f t="shared" si="14"/>
      </c>
      <c r="BL38" s="56">
        <f t="shared" si="14"/>
      </c>
    </row>
    <row r="39" spans="2:64" ht="15" customHeight="1">
      <c r="B39" s="103"/>
      <c r="D39" s="111"/>
      <c r="E39" s="81">
        <v>10</v>
      </c>
      <c r="F39" s="87"/>
      <c r="G39" s="41"/>
      <c r="H39" s="112">
        <v>0</v>
      </c>
      <c r="K39" s="38">
        <f>(G39*((1+H39)^E$39))/(E$39*12)</f>
        <v>0</v>
      </c>
      <c r="L39" s="38">
        <f>K39*12</f>
        <v>0</v>
      </c>
      <c r="M39" s="38">
        <f>K39*12*E$39</f>
        <v>0</v>
      </c>
      <c r="O39" s="103"/>
      <c r="R39" s="56" t="s">
        <v>137</v>
      </c>
      <c r="S39" s="56">
        <f aca="true" t="shared" si="15" ref="S39:BL39">IF(S$32=$E67,$M$72,"")</f>
      </c>
      <c r="T39" s="56">
        <f t="shared" si="15"/>
      </c>
      <c r="U39" s="56">
        <f t="shared" si="15"/>
      </c>
      <c r="V39" s="56">
        <f t="shared" si="15"/>
      </c>
      <c r="W39" s="56">
        <f t="shared" si="15"/>
      </c>
      <c r="X39" s="56">
        <f t="shared" si="15"/>
      </c>
      <c r="Y39" s="56">
        <f t="shared" si="15"/>
      </c>
      <c r="Z39" s="56">
        <f t="shared" si="15"/>
      </c>
      <c r="AA39" s="56">
        <f t="shared" si="15"/>
      </c>
      <c r="AB39" s="56">
        <f t="shared" si="15"/>
      </c>
      <c r="AC39" s="56">
        <f t="shared" si="15"/>
      </c>
      <c r="AD39" s="56">
        <f t="shared" si="15"/>
      </c>
      <c r="AE39" s="56">
        <f t="shared" si="15"/>
      </c>
      <c r="AF39" s="56">
        <f t="shared" si="15"/>
      </c>
      <c r="AG39" s="56">
        <f t="shared" si="15"/>
      </c>
      <c r="AH39" s="56">
        <f t="shared" si="15"/>
      </c>
      <c r="AI39" s="56">
        <f t="shared" si="15"/>
      </c>
      <c r="AJ39" s="56">
        <f t="shared" si="15"/>
      </c>
      <c r="AK39" s="56">
        <f t="shared" si="15"/>
      </c>
      <c r="AL39" s="56">
        <f t="shared" si="15"/>
      </c>
      <c r="AM39" s="56">
        <f t="shared" si="15"/>
      </c>
      <c r="AN39" s="56">
        <f t="shared" si="15"/>
      </c>
      <c r="AO39" s="56">
        <f t="shared" si="15"/>
      </c>
      <c r="AP39" s="56">
        <f t="shared" si="15"/>
      </c>
      <c r="AQ39" s="56">
        <f t="shared" si="15"/>
      </c>
      <c r="AR39" s="56">
        <f t="shared" si="15"/>
      </c>
      <c r="AS39" s="56">
        <f t="shared" si="15"/>
      </c>
      <c r="AT39" s="56">
        <f t="shared" si="15"/>
      </c>
      <c r="AU39" s="56">
        <f t="shared" si="15"/>
      </c>
      <c r="AV39" s="56">
        <f t="shared" si="15"/>
        <v>0</v>
      </c>
      <c r="AW39" s="56">
        <f t="shared" si="15"/>
      </c>
      <c r="AX39" s="56">
        <f t="shared" si="15"/>
      </c>
      <c r="AY39" s="56">
        <f t="shared" si="15"/>
      </c>
      <c r="AZ39" s="56">
        <f t="shared" si="15"/>
      </c>
      <c r="BA39" s="56">
        <f t="shared" si="15"/>
      </c>
      <c r="BB39" s="56">
        <f t="shared" si="15"/>
      </c>
      <c r="BC39" s="56">
        <f t="shared" si="15"/>
      </c>
      <c r="BD39" s="56">
        <f t="shared" si="15"/>
      </c>
      <c r="BE39" s="56">
        <f t="shared" si="15"/>
      </c>
      <c r="BF39" s="56">
        <f t="shared" si="15"/>
      </c>
      <c r="BG39" s="56">
        <f t="shared" si="15"/>
      </c>
      <c r="BH39" s="56">
        <f t="shared" si="15"/>
      </c>
      <c r="BI39" s="56">
        <f t="shared" si="15"/>
      </c>
      <c r="BJ39" s="56">
        <f t="shared" si="15"/>
      </c>
      <c r="BK39" s="56">
        <f t="shared" si="15"/>
      </c>
      <c r="BL39" s="56">
        <f t="shared" si="15"/>
      </c>
    </row>
    <row r="40" spans="2:64" ht="15" customHeight="1">
      <c r="B40" s="103"/>
      <c r="D40" s="111"/>
      <c r="F40" s="87"/>
      <c r="G40" s="41"/>
      <c r="H40" s="112">
        <v>0.01</v>
      </c>
      <c r="K40" s="38">
        <f>(G40*((1+H40)^E$39))/(E$39*12)</f>
        <v>0</v>
      </c>
      <c r="L40" s="38">
        <f>K40*12</f>
        <v>0</v>
      </c>
      <c r="M40" s="38">
        <f>K40*12*E$39</f>
        <v>0</v>
      </c>
      <c r="O40" s="103"/>
      <c r="R40" s="56" t="s">
        <v>138</v>
      </c>
      <c r="S40" s="56">
        <f aca="true" t="shared" si="16" ref="S40:BL40">IF(S$32=$E74,$M$79,"")</f>
      </c>
      <c r="T40" s="56">
        <f t="shared" si="16"/>
      </c>
      <c r="U40" s="56">
        <f t="shared" si="16"/>
      </c>
      <c r="V40" s="56">
        <f t="shared" si="16"/>
      </c>
      <c r="W40" s="56">
        <f t="shared" si="16"/>
      </c>
      <c r="X40" s="56">
        <f t="shared" si="16"/>
      </c>
      <c r="Y40" s="56">
        <f t="shared" si="16"/>
      </c>
      <c r="Z40" s="56">
        <f t="shared" si="16"/>
      </c>
      <c r="AA40" s="56">
        <f t="shared" si="16"/>
      </c>
      <c r="AB40" s="56">
        <f t="shared" si="16"/>
      </c>
      <c r="AC40" s="56">
        <f t="shared" si="16"/>
      </c>
      <c r="AD40" s="56">
        <f t="shared" si="16"/>
      </c>
      <c r="AE40" s="56">
        <f t="shared" si="16"/>
      </c>
      <c r="AF40" s="56">
        <f t="shared" si="16"/>
      </c>
      <c r="AG40" s="56">
        <f t="shared" si="16"/>
      </c>
      <c r="AH40" s="56">
        <f t="shared" si="16"/>
      </c>
      <c r="AI40" s="56">
        <f t="shared" si="16"/>
      </c>
      <c r="AJ40" s="56">
        <f t="shared" si="16"/>
      </c>
      <c r="AK40" s="56">
        <f t="shared" si="16"/>
      </c>
      <c r="AL40" s="56">
        <f t="shared" si="16"/>
      </c>
      <c r="AM40" s="56">
        <f t="shared" si="16"/>
      </c>
      <c r="AN40" s="56">
        <f t="shared" si="16"/>
      </c>
      <c r="AO40" s="56">
        <f t="shared" si="16"/>
      </c>
      <c r="AP40" s="56">
        <f t="shared" si="16"/>
      </c>
      <c r="AQ40" s="56">
        <f t="shared" si="16"/>
      </c>
      <c r="AR40" s="56">
        <f t="shared" si="16"/>
      </c>
      <c r="AS40" s="56">
        <f t="shared" si="16"/>
      </c>
      <c r="AT40" s="56">
        <f t="shared" si="16"/>
      </c>
      <c r="AU40" s="56">
        <f t="shared" si="16"/>
      </c>
      <c r="AV40" s="56">
        <f t="shared" si="16"/>
      </c>
      <c r="AW40" s="56">
        <f t="shared" si="16"/>
      </c>
      <c r="AX40" s="56">
        <f t="shared" si="16"/>
      </c>
      <c r="AY40" s="56">
        <f t="shared" si="16"/>
      </c>
      <c r="AZ40" s="56">
        <f t="shared" si="16"/>
      </c>
      <c r="BA40" s="56">
        <f t="shared" si="16"/>
        <v>0</v>
      </c>
      <c r="BB40" s="56">
        <f t="shared" si="16"/>
      </c>
      <c r="BC40" s="56">
        <f t="shared" si="16"/>
      </c>
      <c r="BD40" s="56">
        <f t="shared" si="16"/>
      </c>
      <c r="BE40" s="56">
        <f t="shared" si="16"/>
      </c>
      <c r="BF40" s="56">
        <f t="shared" si="16"/>
      </c>
      <c r="BG40" s="56">
        <f t="shared" si="16"/>
      </c>
      <c r="BH40" s="56">
        <f t="shared" si="16"/>
      </c>
      <c r="BI40" s="56">
        <f t="shared" si="16"/>
      </c>
      <c r="BJ40" s="56">
        <f t="shared" si="16"/>
      </c>
      <c r="BK40" s="56">
        <f t="shared" si="16"/>
      </c>
      <c r="BL40" s="56">
        <f t="shared" si="16"/>
      </c>
    </row>
    <row r="41" spans="2:15" ht="15" customHeight="1">
      <c r="B41" s="103"/>
      <c r="D41" s="111"/>
      <c r="F41" s="87"/>
      <c r="G41" s="41"/>
      <c r="H41" s="112">
        <v>0.02</v>
      </c>
      <c r="K41" s="38">
        <f>(G41*((1+H41)^E$39))/(E$39*12)</f>
        <v>0</v>
      </c>
      <c r="L41" s="38">
        <f>K41*12</f>
        <v>0</v>
      </c>
      <c r="M41" s="38">
        <f>K41*12*E$39</f>
        <v>0</v>
      </c>
      <c r="O41" s="103"/>
    </row>
    <row r="42" spans="2:18" ht="15" customHeight="1">
      <c r="B42" s="103"/>
      <c r="D42" s="111"/>
      <c r="F42" s="87"/>
      <c r="G42" s="41"/>
      <c r="H42" s="112">
        <v>0.03</v>
      </c>
      <c r="K42" s="38">
        <f>(G42*((1+H42)^E$39))/(E$39*12)</f>
        <v>0</v>
      </c>
      <c r="L42" s="38">
        <f>K42*12</f>
        <v>0</v>
      </c>
      <c r="M42" s="38">
        <f>K42*12*E$39</f>
        <v>0</v>
      </c>
      <c r="O42" s="103"/>
      <c r="R42" s="117" t="s">
        <v>139</v>
      </c>
    </row>
    <row r="43" spans="2:18" ht="15" customHeight="1">
      <c r="B43" s="103"/>
      <c r="D43" s="111"/>
      <c r="F43" s="87"/>
      <c r="G43" s="41"/>
      <c r="H43" s="112">
        <v>0.04</v>
      </c>
      <c r="K43" s="38">
        <f>(G43*((1+H43)^E$39))/(E$39*12)</f>
        <v>0</v>
      </c>
      <c r="L43" s="38">
        <f>K43*12</f>
        <v>0</v>
      </c>
      <c r="M43" s="38">
        <f>K43*12*E$39</f>
        <v>0</v>
      </c>
      <c r="O43" s="103"/>
      <c r="R43" s="9" t="s">
        <v>140</v>
      </c>
    </row>
    <row r="44" spans="2:18" ht="15" customHeight="1">
      <c r="B44" s="103"/>
      <c r="D44" s="113"/>
      <c r="F44" s="114" t="str">
        <f>E39&amp;" Year Sub Total"</f>
        <v>10 Year Sub Total</v>
      </c>
      <c r="G44" s="43">
        <f>SUM(G39:G43)</f>
        <v>0</v>
      </c>
      <c r="H44" s="115"/>
      <c r="K44" s="43">
        <f>SUM(K39:K43)</f>
        <v>0</v>
      </c>
      <c r="L44" s="43">
        <f>SUM(L39:L43)</f>
        <v>0</v>
      </c>
      <c r="M44" s="43">
        <f>SUM(M39:M43)</f>
        <v>0</v>
      </c>
      <c r="O44" s="103"/>
      <c r="R44" s="9" t="s">
        <v>141</v>
      </c>
    </row>
    <row r="45" spans="2:18" ht="15" customHeight="1">
      <c r="B45" s="103"/>
      <c r="D45" s="113"/>
      <c r="H45" s="116"/>
      <c r="O45" s="103"/>
      <c r="R45" s="9" t="s">
        <v>142</v>
      </c>
    </row>
    <row r="46" spans="2:15" ht="15" customHeight="1">
      <c r="B46" s="103"/>
      <c r="D46" s="111"/>
      <c r="E46" s="81">
        <v>15</v>
      </c>
      <c r="F46" s="87"/>
      <c r="G46" s="41"/>
      <c r="H46" s="112">
        <v>0</v>
      </c>
      <c r="K46" s="38">
        <f>(G46*((1+H46)^E$46))/(E$46*12)</f>
        <v>0</v>
      </c>
      <c r="L46" s="38">
        <f>K46*12</f>
        <v>0</v>
      </c>
      <c r="M46" s="38">
        <f>K46*12*E$46</f>
        <v>0</v>
      </c>
      <c r="O46" s="103"/>
    </row>
    <row r="47" spans="2:15" ht="15" customHeight="1">
      <c r="B47" s="103"/>
      <c r="D47" s="111"/>
      <c r="F47" s="87"/>
      <c r="G47" s="41"/>
      <c r="H47" s="112">
        <v>0.01</v>
      </c>
      <c r="K47" s="38">
        <f>(G47*((1+H47)^E$46))/(E$46*12)</f>
        <v>0</v>
      </c>
      <c r="L47" s="38">
        <f>K47*12</f>
        <v>0</v>
      </c>
      <c r="M47" s="38">
        <f>K47*12*E$46</f>
        <v>0</v>
      </c>
      <c r="O47" s="103"/>
    </row>
    <row r="48" spans="2:15" ht="15" customHeight="1">
      <c r="B48" s="103"/>
      <c r="D48" s="111"/>
      <c r="F48" s="87"/>
      <c r="G48" s="41"/>
      <c r="H48" s="112">
        <v>0.02</v>
      </c>
      <c r="K48" s="38">
        <f>(G48*((1+H48)^E$46))/(E$46*12)</f>
        <v>0</v>
      </c>
      <c r="L48" s="38">
        <f>K48*12</f>
        <v>0</v>
      </c>
      <c r="M48" s="38">
        <f>K48*12*E$46</f>
        <v>0</v>
      </c>
      <c r="O48" s="103"/>
    </row>
    <row r="49" spans="2:15" ht="15" customHeight="1">
      <c r="B49" s="103"/>
      <c r="D49" s="111"/>
      <c r="F49" s="87"/>
      <c r="G49" s="41"/>
      <c r="H49" s="112">
        <v>0.03</v>
      </c>
      <c r="K49" s="38">
        <f>(G49*((1+H49)^E$46))/(E$46*12)</f>
        <v>0</v>
      </c>
      <c r="L49" s="38">
        <f>K49*12</f>
        <v>0</v>
      </c>
      <c r="M49" s="38">
        <f>K49*12*E$46</f>
        <v>0</v>
      </c>
      <c r="O49" s="103"/>
    </row>
    <row r="50" spans="2:15" ht="15" customHeight="1">
      <c r="B50" s="103"/>
      <c r="D50" s="111"/>
      <c r="F50" s="87"/>
      <c r="G50" s="41"/>
      <c r="H50" s="112">
        <v>0.04</v>
      </c>
      <c r="K50" s="38">
        <f>(G50*((1+H50)^E$46))/(E$46*12)</f>
        <v>0</v>
      </c>
      <c r="L50" s="38">
        <f>K50*12</f>
        <v>0</v>
      </c>
      <c r="M50" s="38">
        <f>K50*12*E$46</f>
        <v>0</v>
      </c>
      <c r="O50" s="103"/>
    </row>
    <row r="51" spans="2:15" ht="12.75" customHeight="1">
      <c r="B51" s="103"/>
      <c r="D51" s="113"/>
      <c r="F51" s="114" t="str">
        <f>E46&amp;" Year Sub Total"</f>
        <v>15 Year Sub Total</v>
      </c>
      <c r="G51" s="43">
        <f>SUM(G46:G50)</f>
        <v>0</v>
      </c>
      <c r="H51" s="115"/>
      <c r="K51" s="43">
        <f>SUM(K46:K50)</f>
        <v>0</v>
      </c>
      <c r="L51" s="43">
        <f>SUM(L46:L50)</f>
        <v>0</v>
      </c>
      <c r="M51" s="43">
        <f>SUM(M46:M50)</f>
        <v>0</v>
      </c>
      <c r="O51" s="103"/>
    </row>
    <row r="52" spans="2:15" ht="12.75" customHeight="1">
      <c r="B52" s="103"/>
      <c r="D52" s="113"/>
      <c r="H52" s="116"/>
      <c r="O52" s="103"/>
    </row>
    <row r="53" spans="2:15" ht="15" customHeight="1">
      <c r="B53" s="103"/>
      <c r="D53" s="111"/>
      <c r="E53" s="81">
        <v>20</v>
      </c>
      <c r="F53" s="87"/>
      <c r="G53" s="41"/>
      <c r="H53" s="112">
        <v>0</v>
      </c>
      <c r="K53" s="38">
        <f>(G53*((1+H53)^E$53))/(E$53*12)</f>
        <v>0</v>
      </c>
      <c r="L53" s="38">
        <f>K53*12</f>
        <v>0</v>
      </c>
      <c r="M53" s="38">
        <f>K53*12*E$53</f>
        <v>0</v>
      </c>
      <c r="O53" s="103"/>
    </row>
    <row r="54" spans="2:15" ht="15" customHeight="1">
      <c r="B54" s="103"/>
      <c r="D54" s="111"/>
      <c r="F54" s="87"/>
      <c r="G54" s="41"/>
      <c r="H54" s="112">
        <v>0.01</v>
      </c>
      <c r="K54" s="38">
        <f>(G54*((1+H54)^E$53))/(E$53*12)</f>
        <v>0</v>
      </c>
      <c r="L54" s="38">
        <f>K54*12</f>
        <v>0</v>
      </c>
      <c r="M54" s="38">
        <f>K54*12*E$53</f>
        <v>0</v>
      </c>
      <c r="O54" s="103"/>
    </row>
    <row r="55" spans="2:15" ht="15" customHeight="1">
      <c r="B55" s="103"/>
      <c r="D55" s="111"/>
      <c r="F55" s="87"/>
      <c r="G55" s="41"/>
      <c r="H55" s="112">
        <v>0.02</v>
      </c>
      <c r="K55" s="38">
        <f>(G55*((1+H55)^E$53))/(E$53*12)</f>
        <v>0</v>
      </c>
      <c r="L55" s="38">
        <f>K55*12</f>
        <v>0</v>
      </c>
      <c r="M55" s="38">
        <f>K55*12*E$53</f>
        <v>0</v>
      </c>
      <c r="O55" s="103"/>
    </row>
    <row r="56" spans="2:15" ht="15" customHeight="1">
      <c r="B56" s="103"/>
      <c r="D56" s="111"/>
      <c r="F56" s="87"/>
      <c r="G56" s="41"/>
      <c r="H56" s="112">
        <v>0.03</v>
      </c>
      <c r="K56" s="38">
        <f>(G56*((1+H56)^E$53))/(E$53*12)</f>
        <v>0</v>
      </c>
      <c r="L56" s="38">
        <f>K56*12</f>
        <v>0</v>
      </c>
      <c r="M56" s="38">
        <f>K56*12*E$53</f>
        <v>0</v>
      </c>
      <c r="O56" s="103"/>
    </row>
    <row r="57" spans="2:15" ht="15" customHeight="1">
      <c r="B57" s="103"/>
      <c r="D57" s="111"/>
      <c r="F57" s="87"/>
      <c r="G57" s="41"/>
      <c r="H57" s="112">
        <v>0.04</v>
      </c>
      <c r="K57" s="38">
        <f>(G57*((1+H57)^E$53))/(E$53*12)</f>
        <v>0</v>
      </c>
      <c r="L57" s="38">
        <f>K57*12</f>
        <v>0</v>
      </c>
      <c r="M57" s="38">
        <f>K57*12*E$53</f>
        <v>0</v>
      </c>
      <c r="O57" s="103"/>
    </row>
    <row r="58" spans="2:15" ht="12.75" customHeight="1">
      <c r="B58" s="103"/>
      <c r="D58" s="113"/>
      <c r="F58" s="114" t="str">
        <f>E53&amp;" Year Sub Total"</f>
        <v>20 Year Sub Total</v>
      </c>
      <c r="G58" s="43">
        <f>SUM(G53:G57)</f>
        <v>0</v>
      </c>
      <c r="H58" s="115"/>
      <c r="K58" s="43">
        <f>SUM(K53:K57)</f>
        <v>0</v>
      </c>
      <c r="L58" s="43">
        <f>SUM(L53:L57)</f>
        <v>0</v>
      </c>
      <c r="M58" s="43">
        <f>SUM(M53:M57)</f>
        <v>0</v>
      </c>
      <c r="O58" s="103"/>
    </row>
    <row r="59" spans="2:15" ht="12.75" customHeight="1">
      <c r="B59" s="103"/>
      <c r="D59" s="113"/>
      <c r="H59" s="116"/>
      <c r="O59" s="103"/>
    </row>
    <row r="60" spans="2:15" ht="15" customHeight="1">
      <c r="B60" s="103"/>
      <c r="D60" s="111"/>
      <c r="E60" s="81">
        <v>25</v>
      </c>
      <c r="F60" s="87"/>
      <c r="G60" s="41"/>
      <c r="H60" s="112">
        <v>0</v>
      </c>
      <c r="K60" s="38">
        <f>(G60*((1+H60)^E$60))/(E$60*12)</f>
        <v>0</v>
      </c>
      <c r="L60" s="38">
        <f>K60*12</f>
        <v>0</v>
      </c>
      <c r="M60" s="38">
        <f>K60*12*E$60</f>
        <v>0</v>
      </c>
      <c r="O60" s="103"/>
    </row>
    <row r="61" spans="2:15" ht="15" customHeight="1">
      <c r="B61" s="103"/>
      <c r="D61" s="111"/>
      <c r="F61" s="87"/>
      <c r="G61" s="41"/>
      <c r="H61" s="112">
        <v>0.01</v>
      </c>
      <c r="K61" s="38">
        <f>(G61*((1+H61)^E$60))/(E$60*12)</f>
        <v>0</v>
      </c>
      <c r="L61" s="38">
        <f>K61*12</f>
        <v>0</v>
      </c>
      <c r="M61" s="38">
        <f>K61*12*E$60</f>
        <v>0</v>
      </c>
      <c r="O61" s="103"/>
    </row>
    <row r="62" spans="2:15" ht="15" customHeight="1">
      <c r="B62" s="103"/>
      <c r="D62" s="111"/>
      <c r="F62" s="87"/>
      <c r="G62" s="41"/>
      <c r="H62" s="112">
        <v>0.02</v>
      </c>
      <c r="K62" s="38">
        <f>(G62*((1+H62)^E$60))/(E$60*12)</f>
        <v>0</v>
      </c>
      <c r="L62" s="38">
        <f>K62*12</f>
        <v>0</v>
      </c>
      <c r="M62" s="38">
        <f>K62*12*E$60</f>
        <v>0</v>
      </c>
      <c r="O62" s="103"/>
    </row>
    <row r="63" spans="2:15" ht="15" customHeight="1">
      <c r="B63" s="103"/>
      <c r="D63" s="111"/>
      <c r="F63" s="87"/>
      <c r="G63" s="41"/>
      <c r="H63" s="112">
        <v>0.03</v>
      </c>
      <c r="K63" s="38">
        <f>(G63*((1+H63)^E$60))/(E$60*12)</f>
        <v>0</v>
      </c>
      <c r="L63" s="38">
        <f>K63*12</f>
        <v>0</v>
      </c>
      <c r="M63" s="38">
        <f>K63*12*E$60</f>
        <v>0</v>
      </c>
      <c r="O63" s="103"/>
    </row>
    <row r="64" spans="2:15" ht="15" customHeight="1">
      <c r="B64" s="103"/>
      <c r="D64" s="111"/>
      <c r="F64" s="87"/>
      <c r="G64" s="41"/>
      <c r="H64" s="112">
        <v>0.04</v>
      </c>
      <c r="K64" s="38">
        <f>(G64*((1+H64)^E$60))/(E$60*12)</f>
        <v>0</v>
      </c>
      <c r="L64" s="38">
        <f>K64*12</f>
        <v>0</v>
      </c>
      <c r="M64" s="38">
        <f>K64*12*E$60</f>
        <v>0</v>
      </c>
      <c r="O64" s="103"/>
    </row>
    <row r="65" spans="2:15" ht="12.75" customHeight="1">
      <c r="B65" s="103"/>
      <c r="D65" s="113"/>
      <c r="F65" s="114" t="str">
        <f>E60&amp;" Year Sub Total"</f>
        <v>25 Year Sub Total</v>
      </c>
      <c r="G65" s="43">
        <f>SUM(G60:G64)</f>
        <v>0</v>
      </c>
      <c r="H65" s="115"/>
      <c r="K65" s="43">
        <f>SUM(K60:K64)</f>
        <v>0</v>
      </c>
      <c r="L65" s="43">
        <f>SUM(L60:L64)</f>
        <v>0</v>
      </c>
      <c r="M65" s="43">
        <f>SUM(M60:M64)</f>
        <v>0</v>
      </c>
      <c r="O65" s="103"/>
    </row>
    <row r="66" spans="2:15" ht="12.75" customHeight="1">
      <c r="B66" s="103"/>
      <c r="D66" s="113"/>
      <c r="H66" s="116"/>
      <c r="O66" s="103"/>
    </row>
    <row r="67" spans="2:15" ht="15" customHeight="1">
      <c r="B67" s="103"/>
      <c r="D67" s="111"/>
      <c r="E67" s="81">
        <v>30</v>
      </c>
      <c r="F67" s="87"/>
      <c r="G67" s="41"/>
      <c r="H67" s="112">
        <v>0</v>
      </c>
      <c r="K67" s="38">
        <f>(G67*((1+H67)^E$67))/(E$67*12)</f>
        <v>0</v>
      </c>
      <c r="L67" s="38">
        <f>K67*12</f>
        <v>0</v>
      </c>
      <c r="M67" s="38">
        <f>K67*12*E$67</f>
        <v>0</v>
      </c>
      <c r="O67" s="103"/>
    </row>
    <row r="68" spans="2:15" ht="15" customHeight="1">
      <c r="B68" s="103"/>
      <c r="D68" s="111"/>
      <c r="F68" s="87"/>
      <c r="G68" s="41"/>
      <c r="H68" s="112">
        <v>0.01</v>
      </c>
      <c r="K68" s="38">
        <f>(G68*((1+H68)^E$67))/(E$67*12)</f>
        <v>0</v>
      </c>
      <c r="L68" s="38">
        <f>K68*12</f>
        <v>0</v>
      </c>
      <c r="M68" s="38">
        <f>K68*12*E$67</f>
        <v>0</v>
      </c>
      <c r="O68" s="103"/>
    </row>
    <row r="69" spans="2:15" ht="15" customHeight="1">
      <c r="B69" s="103"/>
      <c r="D69" s="111"/>
      <c r="F69" s="87"/>
      <c r="G69" s="41"/>
      <c r="H69" s="112">
        <v>0.02</v>
      </c>
      <c r="K69" s="38">
        <f>(G69*((1+H69)^E$67))/(E$67*12)</f>
        <v>0</v>
      </c>
      <c r="L69" s="38">
        <f>K69*12</f>
        <v>0</v>
      </c>
      <c r="M69" s="38">
        <f>K69*12*E$67</f>
        <v>0</v>
      </c>
      <c r="O69" s="103"/>
    </row>
    <row r="70" spans="2:15" ht="15" customHeight="1">
      <c r="B70" s="103"/>
      <c r="D70" s="111"/>
      <c r="F70" s="87"/>
      <c r="G70" s="41"/>
      <c r="H70" s="112">
        <v>0.03</v>
      </c>
      <c r="K70" s="38">
        <f>(G70*((1+H70)^E$67))/(E$67*12)</f>
        <v>0</v>
      </c>
      <c r="L70" s="38">
        <f>K70*12</f>
        <v>0</v>
      </c>
      <c r="M70" s="38">
        <f>K70*12*E$67</f>
        <v>0</v>
      </c>
      <c r="O70" s="103"/>
    </row>
    <row r="71" spans="2:15" ht="15" customHeight="1">
      <c r="B71" s="103"/>
      <c r="D71" s="111"/>
      <c r="F71" s="87"/>
      <c r="G71" s="41"/>
      <c r="H71" s="112">
        <v>0.04</v>
      </c>
      <c r="K71" s="38">
        <f>(G71*((1+H71)^E$67))/(E$67*12)</f>
        <v>0</v>
      </c>
      <c r="L71" s="38">
        <f>K71*12</f>
        <v>0</v>
      </c>
      <c r="M71" s="38">
        <f>K71*12*E$67</f>
        <v>0</v>
      </c>
      <c r="O71" s="103"/>
    </row>
    <row r="72" spans="2:15" ht="12.75" customHeight="1">
      <c r="B72" s="103"/>
      <c r="D72" s="113"/>
      <c r="F72" s="114" t="str">
        <f>E67&amp;" Year Sub Total"</f>
        <v>30 Year Sub Total</v>
      </c>
      <c r="G72" s="43">
        <f>SUM(G67:G71)</f>
        <v>0</v>
      </c>
      <c r="H72" s="115"/>
      <c r="K72" s="43">
        <f>SUM(K67:K71)</f>
        <v>0</v>
      </c>
      <c r="L72" s="43">
        <f>SUM(L67:L71)</f>
        <v>0</v>
      </c>
      <c r="M72" s="43">
        <f>SUM(M67:M71)</f>
        <v>0</v>
      </c>
      <c r="O72" s="103"/>
    </row>
    <row r="73" spans="2:15" ht="12.75" customHeight="1">
      <c r="B73" s="103"/>
      <c r="D73" s="113"/>
      <c r="H73" s="116"/>
      <c r="O73" s="103"/>
    </row>
    <row r="74" spans="2:15" ht="15" customHeight="1">
      <c r="B74" s="103"/>
      <c r="D74" s="111"/>
      <c r="E74" s="81">
        <v>35</v>
      </c>
      <c r="F74" s="87"/>
      <c r="G74" s="41"/>
      <c r="H74" s="112">
        <v>0</v>
      </c>
      <c r="K74" s="38">
        <f>(G74*((1+H74)^E$74))/(E$74*12)</f>
        <v>0</v>
      </c>
      <c r="L74" s="38">
        <f>K74*12</f>
        <v>0</v>
      </c>
      <c r="M74" s="38">
        <f>K74*12*E$74</f>
        <v>0</v>
      </c>
      <c r="O74" s="103"/>
    </row>
    <row r="75" spans="2:15" ht="15" customHeight="1">
      <c r="B75" s="103"/>
      <c r="D75" s="111"/>
      <c r="F75" s="87"/>
      <c r="G75" s="41"/>
      <c r="H75" s="112">
        <v>0.01</v>
      </c>
      <c r="K75" s="38">
        <f>(G75*((1+H75)^E$74))/(E$74*12)</f>
        <v>0</v>
      </c>
      <c r="L75" s="38">
        <f>K75*12</f>
        <v>0</v>
      </c>
      <c r="M75" s="38">
        <f>K75*12*E$74</f>
        <v>0</v>
      </c>
      <c r="O75" s="103"/>
    </row>
    <row r="76" spans="2:15" ht="15" customHeight="1">
      <c r="B76" s="103"/>
      <c r="D76" s="111"/>
      <c r="F76" s="87"/>
      <c r="G76" s="41"/>
      <c r="H76" s="112">
        <v>0.02</v>
      </c>
      <c r="K76" s="38">
        <f>(G76*((1+H76)^E$74))/(E$74*12)</f>
        <v>0</v>
      </c>
      <c r="L76" s="38">
        <f>K76*12</f>
        <v>0</v>
      </c>
      <c r="M76" s="38">
        <f>K76*12*E$74</f>
        <v>0</v>
      </c>
      <c r="O76" s="103"/>
    </row>
    <row r="77" spans="2:15" ht="15" customHeight="1">
      <c r="B77" s="103"/>
      <c r="D77" s="111"/>
      <c r="F77" s="87"/>
      <c r="G77" s="41"/>
      <c r="H77" s="112">
        <v>0.03</v>
      </c>
      <c r="K77" s="38">
        <f>(G77*((1+H77)^E$74))/(E$74*12)</f>
        <v>0</v>
      </c>
      <c r="L77" s="38">
        <f>K77*12</f>
        <v>0</v>
      </c>
      <c r="M77" s="38">
        <f>K77*12*E$74</f>
        <v>0</v>
      </c>
      <c r="O77" s="103"/>
    </row>
    <row r="78" spans="2:15" ht="15" customHeight="1">
      <c r="B78" s="103"/>
      <c r="D78" s="111"/>
      <c r="F78" s="87"/>
      <c r="G78" s="41"/>
      <c r="H78" s="112">
        <v>0.04</v>
      </c>
      <c r="K78" s="38">
        <f>(G78*((1+H78)^E$74))/(E$74*12)</f>
        <v>0</v>
      </c>
      <c r="L78" s="38">
        <f>K78*12</f>
        <v>0</v>
      </c>
      <c r="M78" s="38">
        <f>K78*12*E$74</f>
        <v>0</v>
      </c>
      <c r="O78" s="103"/>
    </row>
    <row r="79" spans="2:15" ht="12.75" customHeight="1">
      <c r="B79" s="103"/>
      <c r="D79" s="113"/>
      <c r="F79" s="114" t="str">
        <f>E74&amp;" Year Sub Total"</f>
        <v>35 Year Sub Total</v>
      </c>
      <c r="G79" s="43">
        <f>SUM(G74:G78)</f>
        <v>0</v>
      </c>
      <c r="H79" s="115"/>
      <c r="K79" s="43">
        <f>SUM(K74:K78)</f>
        <v>0</v>
      </c>
      <c r="L79" s="43">
        <f>SUM(L74:L78)</f>
        <v>0</v>
      </c>
      <c r="M79" s="43">
        <f>SUM(M74:M78)</f>
        <v>0</v>
      </c>
      <c r="O79" s="103"/>
    </row>
    <row r="80" spans="2:15" ht="12.75" customHeight="1">
      <c r="B80" s="103"/>
      <c r="D80" s="113"/>
      <c r="H80" s="116"/>
      <c r="O80" s="103"/>
    </row>
    <row r="81" spans="2:15" ht="12.75" customHeight="1">
      <c r="B81" s="103"/>
      <c r="F81" s="114"/>
      <c r="G81" s="44"/>
      <c r="H81" s="115"/>
      <c r="I81" s="118"/>
      <c r="J81" s="118"/>
      <c r="K81" s="44"/>
      <c r="O81" s="103"/>
    </row>
    <row r="82" spans="2:15" ht="13.5" customHeight="1">
      <c r="B82" s="103"/>
      <c r="F82" s="114"/>
      <c r="G82" s="91">
        <f>G30+G37+G44+G51+G58+G65+G72+G79</f>
        <v>1000</v>
      </c>
      <c r="H82" s="119"/>
      <c r="I82" s="120"/>
      <c r="J82" s="120"/>
      <c r="K82" s="91">
        <f>K30+K37+K44+K51+K58+K65+K72+K79</f>
        <v>83.33333333333333</v>
      </c>
      <c r="L82" s="91">
        <f>L30+L37+L44+L51+L58+L65+L72+L79</f>
        <v>1000</v>
      </c>
      <c r="M82" s="91">
        <f>M30+M37+M44+M51+M58+M65+M72+M79</f>
        <v>1000</v>
      </c>
      <c r="O82" s="103"/>
    </row>
    <row r="83" spans="2:15" ht="12.75" customHeight="1">
      <c r="B83" s="103"/>
      <c r="F83" s="114"/>
      <c r="G83" s="44"/>
      <c r="H83" s="115"/>
      <c r="I83" s="118"/>
      <c r="J83" s="118"/>
      <c r="K83" s="44"/>
      <c r="O83" s="103"/>
    </row>
    <row r="84" spans="2:15" ht="6.75" customHeight="1">
      <c r="B84" s="103"/>
      <c r="C84" s="103"/>
      <c r="D84" s="104"/>
      <c r="E84" s="121"/>
      <c r="F84" s="103"/>
      <c r="G84" s="105"/>
      <c r="H84" s="122"/>
      <c r="I84" s="107"/>
      <c r="J84" s="107"/>
      <c r="K84" s="105"/>
      <c r="L84" s="105"/>
      <c r="M84" s="105"/>
      <c r="N84" s="103"/>
      <c r="O84" s="103"/>
    </row>
    <row r="85" spans="5:8" ht="21.75" customHeight="1">
      <c r="E85" s="57"/>
      <c r="H85" s="116"/>
    </row>
    <row r="86" spans="5:92" ht="21.75" customHeight="1">
      <c r="E86" s="57"/>
      <c r="H86" s="116"/>
      <c r="R86" s="56" t="s">
        <v>143</v>
      </c>
      <c r="S86" s="56">
        <f aca="true" t="shared" si="17" ref="S86:AX86">SUM(S90:S96)</f>
        <v>0</v>
      </c>
      <c r="T86" s="56">
        <f t="shared" si="17"/>
        <v>0</v>
      </c>
      <c r="U86" s="56">
        <f t="shared" si="17"/>
        <v>0</v>
      </c>
      <c r="V86" s="56">
        <f t="shared" si="17"/>
        <v>0</v>
      </c>
      <c r="W86" s="56">
        <f t="shared" si="17"/>
        <v>0</v>
      </c>
      <c r="X86" s="56">
        <f t="shared" si="17"/>
        <v>0</v>
      </c>
      <c r="Y86" s="56">
        <f t="shared" si="17"/>
        <v>0</v>
      </c>
      <c r="Z86" s="56">
        <f t="shared" si="17"/>
        <v>0</v>
      </c>
      <c r="AA86" s="56">
        <f t="shared" si="17"/>
        <v>0</v>
      </c>
      <c r="AB86" s="56">
        <f t="shared" si="17"/>
        <v>0</v>
      </c>
      <c r="AC86" s="56">
        <f t="shared" si="17"/>
        <v>0</v>
      </c>
      <c r="AD86" s="56">
        <f t="shared" si="17"/>
        <v>0</v>
      </c>
      <c r="AE86" s="56">
        <f t="shared" si="17"/>
        <v>0</v>
      </c>
      <c r="AF86" s="56">
        <f t="shared" si="17"/>
        <v>0</v>
      </c>
      <c r="AG86" s="56">
        <f t="shared" si="17"/>
        <v>0</v>
      </c>
      <c r="AH86" s="56">
        <f t="shared" si="17"/>
        <v>0</v>
      </c>
      <c r="AI86" s="56">
        <f t="shared" si="17"/>
        <v>0</v>
      </c>
      <c r="AJ86" s="56">
        <f t="shared" si="17"/>
        <v>0</v>
      </c>
      <c r="AK86" s="56">
        <f t="shared" si="17"/>
        <v>0</v>
      </c>
      <c r="AL86" s="56">
        <f t="shared" si="17"/>
        <v>0</v>
      </c>
      <c r="AM86" s="56">
        <f t="shared" si="17"/>
        <v>0</v>
      </c>
      <c r="AN86" s="56">
        <f t="shared" si="17"/>
        <v>0</v>
      </c>
      <c r="AO86" s="56">
        <f t="shared" si="17"/>
        <v>0</v>
      </c>
      <c r="AP86" s="56">
        <f t="shared" si="17"/>
        <v>0</v>
      </c>
      <c r="AQ86" s="56">
        <f t="shared" si="17"/>
        <v>0</v>
      </c>
      <c r="AR86" s="56">
        <f t="shared" si="17"/>
        <v>0</v>
      </c>
      <c r="AS86" s="56">
        <f t="shared" si="17"/>
        <v>0</v>
      </c>
      <c r="AT86" s="56">
        <f t="shared" si="17"/>
        <v>0</v>
      </c>
      <c r="AU86" s="56">
        <f t="shared" si="17"/>
        <v>0</v>
      </c>
      <c r="AV86" s="56">
        <f t="shared" si="17"/>
        <v>0</v>
      </c>
      <c r="AW86" s="56">
        <f t="shared" si="17"/>
        <v>0</v>
      </c>
      <c r="AX86" s="56">
        <f t="shared" si="17"/>
        <v>0</v>
      </c>
      <c r="AY86" s="56">
        <f aca="true" t="shared" si="18" ref="AY86:CD86">SUM(AY90:AY96)</f>
        <v>0</v>
      </c>
      <c r="AZ86" s="56">
        <f t="shared" si="18"/>
        <v>0</v>
      </c>
      <c r="BA86" s="56">
        <f t="shared" si="18"/>
        <v>0</v>
      </c>
      <c r="BB86" s="56">
        <f t="shared" si="18"/>
        <v>0</v>
      </c>
      <c r="BC86" s="56">
        <f t="shared" si="18"/>
        <v>0</v>
      </c>
      <c r="BD86" s="56">
        <f t="shared" si="18"/>
        <v>0</v>
      </c>
      <c r="BE86" s="56">
        <f t="shared" si="18"/>
        <v>0</v>
      </c>
      <c r="BF86" s="56">
        <f t="shared" si="18"/>
        <v>0</v>
      </c>
      <c r="BG86" s="56">
        <f t="shared" si="18"/>
        <v>0</v>
      </c>
      <c r="BH86" s="56">
        <f t="shared" si="18"/>
        <v>0</v>
      </c>
      <c r="BI86" s="56">
        <f t="shared" si="18"/>
        <v>0</v>
      </c>
      <c r="BJ86" s="56">
        <f t="shared" si="18"/>
        <v>0</v>
      </c>
      <c r="BK86" s="56">
        <f t="shared" si="18"/>
        <v>0</v>
      </c>
      <c r="BL86" s="56">
        <f t="shared" si="18"/>
        <v>0</v>
      </c>
      <c r="BM86" s="56">
        <f t="shared" si="18"/>
        <v>0</v>
      </c>
      <c r="BN86" s="56">
        <f t="shared" si="18"/>
        <v>0</v>
      </c>
      <c r="BO86" s="56">
        <f t="shared" si="18"/>
        <v>0</v>
      </c>
      <c r="BP86" s="56">
        <f t="shared" si="18"/>
        <v>0</v>
      </c>
      <c r="BQ86" s="56">
        <f t="shared" si="18"/>
        <v>0</v>
      </c>
      <c r="BR86" s="56">
        <f t="shared" si="18"/>
        <v>0</v>
      </c>
      <c r="BS86" s="56">
        <f t="shared" si="18"/>
        <v>0</v>
      </c>
      <c r="BT86" s="56">
        <f t="shared" si="18"/>
        <v>0</v>
      </c>
      <c r="BU86" s="56">
        <f t="shared" si="18"/>
        <v>0</v>
      </c>
      <c r="BV86" s="56">
        <f t="shared" si="18"/>
        <v>0</v>
      </c>
      <c r="BW86" s="56">
        <f t="shared" si="18"/>
        <v>0</v>
      </c>
      <c r="BX86" s="56">
        <f t="shared" si="18"/>
        <v>0</v>
      </c>
      <c r="BY86" s="56">
        <f t="shared" si="18"/>
        <v>0</v>
      </c>
      <c r="BZ86" s="56">
        <f t="shared" si="18"/>
        <v>0</v>
      </c>
      <c r="CA86" s="56">
        <f t="shared" si="18"/>
        <v>0</v>
      </c>
      <c r="CB86" s="56">
        <f t="shared" si="18"/>
        <v>0</v>
      </c>
      <c r="CC86" s="56">
        <f t="shared" si="18"/>
        <v>0</v>
      </c>
      <c r="CD86" s="56">
        <f t="shared" si="18"/>
        <v>0</v>
      </c>
      <c r="CE86" s="56">
        <f aca="true" t="shared" si="19" ref="CE86:CN86">SUM(CE90:CE96)</f>
        <v>0</v>
      </c>
      <c r="CF86" s="56">
        <f t="shared" si="19"/>
        <v>0</v>
      </c>
      <c r="CG86" s="56">
        <f t="shared" si="19"/>
        <v>0</v>
      </c>
      <c r="CH86" s="56">
        <f t="shared" si="19"/>
        <v>0</v>
      </c>
      <c r="CI86" s="56">
        <f t="shared" si="19"/>
        <v>0</v>
      </c>
      <c r="CJ86" s="56">
        <f t="shared" si="19"/>
        <v>0</v>
      </c>
      <c r="CK86" s="56">
        <f t="shared" si="19"/>
        <v>0</v>
      </c>
      <c r="CL86" s="56">
        <f t="shared" si="19"/>
        <v>0</v>
      </c>
      <c r="CM86" s="56">
        <f t="shared" si="19"/>
        <v>0</v>
      </c>
      <c r="CN86" s="56">
        <f t="shared" si="19"/>
        <v>0</v>
      </c>
    </row>
    <row r="87" spans="2:15" ht="6.75" customHeight="1">
      <c r="B87" s="123"/>
      <c r="C87" s="123"/>
      <c r="D87" s="124"/>
      <c r="E87" s="124"/>
      <c r="F87" s="123"/>
      <c r="G87" s="125"/>
      <c r="H87" s="126"/>
      <c r="I87" s="127"/>
      <c r="J87" s="127"/>
      <c r="K87" s="125"/>
      <c r="L87" s="125"/>
      <c r="M87" s="125"/>
      <c r="N87" s="123"/>
      <c r="O87" s="123"/>
    </row>
    <row r="88" spans="2:92" ht="18" customHeight="1">
      <c r="B88" s="123"/>
      <c r="D88" s="69" t="s">
        <v>144</v>
      </c>
      <c r="H88" s="116"/>
      <c r="O88" s="123"/>
      <c r="R88" s="56" t="s">
        <v>145</v>
      </c>
      <c r="S88" s="57">
        <v>1</v>
      </c>
      <c r="T88" s="57">
        <f aca="true" t="shared" si="20" ref="T88:AY88">S88+1</f>
        <v>2</v>
      </c>
      <c r="U88" s="57">
        <f t="shared" si="20"/>
        <v>3</v>
      </c>
      <c r="V88" s="57">
        <f t="shared" si="20"/>
        <v>4</v>
      </c>
      <c r="W88" s="57">
        <f t="shared" si="20"/>
        <v>5</v>
      </c>
      <c r="X88" s="57">
        <f t="shared" si="20"/>
        <v>6</v>
      </c>
      <c r="Y88" s="57">
        <f t="shared" si="20"/>
        <v>7</v>
      </c>
      <c r="Z88" s="57">
        <f t="shared" si="20"/>
        <v>8</v>
      </c>
      <c r="AA88" s="57">
        <f t="shared" si="20"/>
        <v>9</v>
      </c>
      <c r="AB88" s="57">
        <f t="shared" si="20"/>
        <v>10</v>
      </c>
      <c r="AC88" s="57">
        <f t="shared" si="20"/>
        <v>11</v>
      </c>
      <c r="AD88" s="57">
        <f t="shared" si="20"/>
        <v>12</v>
      </c>
      <c r="AE88" s="57">
        <f t="shared" si="20"/>
        <v>13</v>
      </c>
      <c r="AF88" s="57">
        <f t="shared" si="20"/>
        <v>14</v>
      </c>
      <c r="AG88" s="57">
        <f t="shared" si="20"/>
        <v>15</v>
      </c>
      <c r="AH88" s="57">
        <f t="shared" si="20"/>
        <v>16</v>
      </c>
      <c r="AI88" s="57">
        <f t="shared" si="20"/>
        <v>17</v>
      </c>
      <c r="AJ88" s="57">
        <f t="shared" si="20"/>
        <v>18</v>
      </c>
      <c r="AK88" s="57">
        <f t="shared" si="20"/>
        <v>19</v>
      </c>
      <c r="AL88" s="57">
        <f t="shared" si="20"/>
        <v>20</v>
      </c>
      <c r="AM88" s="57">
        <f t="shared" si="20"/>
        <v>21</v>
      </c>
      <c r="AN88" s="57">
        <f t="shared" si="20"/>
        <v>22</v>
      </c>
      <c r="AO88" s="57">
        <f t="shared" si="20"/>
        <v>23</v>
      </c>
      <c r="AP88" s="57">
        <f t="shared" si="20"/>
        <v>24</v>
      </c>
      <c r="AQ88" s="57">
        <f t="shared" si="20"/>
        <v>25</v>
      </c>
      <c r="AR88" s="57">
        <f t="shared" si="20"/>
        <v>26</v>
      </c>
      <c r="AS88" s="57">
        <f t="shared" si="20"/>
        <v>27</v>
      </c>
      <c r="AT88" s="57">
        <f t="shared" si="20"/>
        <v>28</v>
      </c>
      <c r="AU88" s="57">
        <f t="shared" si="20"/>
        <v>29</v>
      </c>
      <c r="AV88" s="57">
        <f t="shared" si="20"/>
        <v>30</v>
      </c>
      <c r="AW88" s="57">
        <f t="shared" si="20"/>
        <v>31</v>
      </c>
      <c r="AX88" s="57">
        <f t="shared" si="20"/>
        <v>32</v>
      </c>
      <c r="AY88" s="57">
        <f t="shared" si="20"/>
        <v>33</v>
      </c>
      <c r="AZ88" s="57">
        <f aca="true" t="shared" si="21" ref="AZ88:CE88">AY88+1</f>
        <v>34</v>
      </c>
      <c r="BA88" s="57">
        <f t="shared" si="21"/>
        <v>35</v>
      </c>
      <c r="BB88" s="57">
        <f t="shared" si="21"/>
        <v>36</v>
      </c>
      <c r="BC88" s="57">
        <f t="shared" si="21"/>
        <v>37</v>
      </c>
      <c r="BD88" s="57">
        <f t="shared" si="21"/>
        <v>38</v>
      </c>
      <c r="BE88" s="57">
        <f t="shared" si="21"/>
        <v>39</v>
      </c>
      <c r="BF88" s="57">
        <f t="shared" si="21"/>
        <v>40</v>
      </c>
      <c r="BG88" s="57">
        <f t="shared" si="21"/>
        <v>41</v>
      </c>
      <c r="BH88" s="57">
        <f t="shared" si="21"/>
        <v>42</v>
      </c>
      <c r="BI88" s="57">
        <f t="shared" si="21"/>
        <v>43</v>
      </c>
      <c r="BJ88" s="57">
        <f t="shared" si="21"/>
        <v>44</v>
      </c>
      <c r="BK88" s="57">
        <f t="shared" si="21"/>
        <v>45</v>
      </c>
      <c r="BL88" s="57">
        <f t="shared" si="21"/>
        <v>46</v>
      </c>
      <c r="BM88" s="57">
        <f t="shared" si="21"/>
        <v>47</v>
      </c>
      <c r="BN88" s="57">
        <f t="shared" si="21"/>
        <v>48</v>
      </c>
      <c r="BO88" s="57">
        <f t="shared" si="21"/>
        <v>49</v>
      </c>
      <c r="BP88" s="57">
        <f t="shared" si="21"/>
        <v>50</v>
      </c>
      <c r="BQ88" s="57">
        <f t="shared" si="21"/>
        <v>51</v>
      </c>
      <c r="BR88" s="57">
        <f t="shared" si="21"/>
        <v>52</v>
      </c>
      <c r="BS88" s="57">
        <f t="shared" si="21"/>
        <v>53</v>
      </c>
      <c r="BT88" s="57">
        <f t="shared" si="21"/>
        <v>54</v>
      </c>
      <c r="BU88" s="57">
        <f t="shared" si="21"/>
        <v>55</v>
      </c>
      <c r="BV88" s="57">
        <f t="shared" si="21"/>
        <v>56</v>
      </c>
      <c r="BW88" s="57">
        <f t="shared" si="21"/>
        <v>57</v>
      </c>
      <c r="BX88" s="57">
        <f t="shared" si="21"/>
        <v>58</v>
      </c>
      <c r="BY88" s="57">
        <f t="shared" si="21"/>
        <v>59</v>
      </c>
      <c r="BZ88" s="57">
        <f t="shared" si="21"/>
        <v>60</v>
      </c>
      <c r="CA88" s="57">
        <f t="shared" si="21"/>
        <v>61</v>
      </c>
      <c r="CB88" s="57">
        <f t="shared" si="21"/>
        <v>62</v>
      </c>
      <c r="CC88" s="57">
        <f t="shared" si="21"/>
        <v>63</v>
      </c>
      <c r="CD88" s="57">
        <f t="shared" si="21"/>
        <v>64</v>
      </c>
      <c r="CE88" s="57">
        <f t="shared" si="21"/>
        <v>65</v>
      </c>
      <c r="CF88" s="57">
        <f aca="true" t="shared" si="22" ref="CF88:CN88">CE88+1</f>
        <v>66</v>
      </c>
      <c r="CG88" s="57">
        <f t="shared" si="22"/>
        <v>67</v>
      </c>
      <c r="CH88" s="57">
        <f t="shared" si="22"/>
        <v>68</v>
      </c>
      <c r="CI88" s="57">
        <f t="shared" si="22"/>
        <v>69</v>
      </c>
      <c r="CJ88" s="57">
        <f t="shared" si="22"/>
        <v>70</v>
      </c>
      <c r="CK88" s="57">
        <f t="shared" si="22"/>
        <v>71</v>
      </c>
      <c r="CL88" s="57">
        <f t="shared" si="22"/>
        <v>72</v>
      </c>
      <c r="CM88" s="57">
        <f t="shared" si="22"/>
        <v>73</v>
      </c>
      <c r="CN88" s="57">
        <f t="shared" si="22"/>
        <v>74</v>
      </c>
    </row>
    <row r="89" spans="2:15" ht="12.75" customHeight="1">
      <c r="B89" s="123"/>
      <c r="H89" s="116"/>
      <c r="O89" s="123"/>
    </row>
    <row r="90" spans="2:92" ht="28.5" customHeight="1">
      <c r="B90" s="123"/>
      <c r="D90" s="72" t="s">
        <v>146</v>
      </c>
      <c r="E90" s="72" t="s">
        <v>99</v>
      </c>
      <c r="F90" s="128" t="s">
        <v>100</v>
      </c>
      <c r="G90" s="74" t="s">
        <v>101</v>
      </c>
      <c r="H90" s="129" t="s">
        <v>147</v>
      </c>
      <c r="K90" s="74" t="s">
        <v>105</v>
      </c>
      <c r="L90" s="74" t="s">
        <v>106</v>
      </c>
      <c r="M90" s="74" t="s">
        <v>107</v>
      </c>
      <c r="N90" s="130"/>
      <c r="O90" s="123"/>
      <c r="R90" s="56" t="s">
        <v>148</v>
      </c>
      <c r="S90" s="131">
        <f aca="true" t="shared" si="23" ref="S90:AX90">IF(S$88=$D$92,$G$94,0)</f>
        <v>0</v>
      </c>
      <c r="T90" s="131">
        <f t="shared" si="23"/>
        <v>0</v>
      </c>
      <c r="U90" s="131">
        <f t="shared" si="23"/>
        <v>0</v>
      </c>
      <c r="V90" s="131">
        <f t="shared" si="23"/>
        <v>0</v>
      </c>
      <c r="W90" s="131">
        <f t="shared" si="23"/>
        <v>0</v>
      </c>
      <c r="X90" s="131">
        <f t="shared" si="23"/>
        <v>0</v>
      </c>
      <c r="Y90" s="131">
        <f t="shared" si="23"/>
        <v>0</v>
      </c>
      <c r="Z90" s="131">
        <f t="shared" si="23"/>
        <v>0</v>
      </c>
      <c r="AA90" s="131">
        <f t="shared" si="23"/>
        <v>0</v>
      </c>
      <c r="AB90" s="131">
        <f t="shared" si="23"/>
        <v>0</v>
      </c>
      <c r="AC90" s="131">
        <f t="shared" si="23"/>
        <v>0</v>
      </c>
      <c r="AD90" s="131">
        <f t="shared" si="23"/>
        <v>0</v>
      </c>
      <c r="AE90" s="131">
        <f t="shared" si="23"/>
        <v>0</v>
      </c>
      <c r="AF90" s="131">
        <f t="shared" si="23"/>
        <v>0</v>
      </c>
      <c r="AG90" s="131">
        <f t="shared" si="23"/>
        <v>0</v>
      </c>
      <c r="AH90" s="131">
        <f t="shared" si="23"/>
        <v>0</v>
      </c>
      <c r="AI90" s="131">
        <f t="shared" si="23"/>
        <v>0</v>
      </c>
      <c r="AJ90" s="131">
        <f t="shared" si="23"/>
        <v>0</v>
      </c>
      <c r="AK90" s="131">
        <f t="shared" si="23"/>
        <v>0</v>
      </c>
      <c r="AL90" s="131">
        <f t="shared" si="23"/>
        <v>0</v>
      </c>
      <c r="AM90" s="131">
        <f t="shared" si="23"/>
        <v>0</v>
      </c>
      <c r="AN90" s="131">
        <f t="shared" si="23"/>
        <v>0</v>
      </c>
      <c r="AO90" s="131">
        <f t="shared" si="23"/>
        <v>0</v>
      </c>
      <c r="AP90" s="131">
        <f t="shared" si="23"/>
        <v>0</v>
      </c>
      <c r="AQ90" s="131">
        <f t="shared" si="23"/>
        <v>0</v>
      </c>
      <c r="AR90" s="131">
        <f t="shared" si="23"/>
        <v>0</v>
      </c>
      <c r="AS90" s="131">
        <f t="shared" si="23"/>
        <v>0</v>
      </c>
      <c r="AT90" s="131">
        <f t="shared" si="23"/>
        <v>0</v>
      </c>
      <c r="AU90" s="131">
        <f t="shared" si="23"/>
        <v>0</v>
      </c>
      <c r="AV90" s="131">
        <f t="shared" si="23"/>
        <v>0</v>
      </c>
      <c r="AW90" s="131">
        <f t="shared" si="23"/>
        <v>0</v>
      </c>
      <c r="AX90" s="131">
        <f t="shared" si="23"/>
        <v>0</v>
      </c>
      <c r="AY90" s="131">
        <f aca="true" t="shared" si="24" ref="AY90:CD90">IF(AY$88=$D$92,$G$94,0)</f>
        <v>0</v>
      </c>
      <c r="AZ90" s="131">
        <f t="shared" si="24"/>
        <v>0</v>
      </c>
      <c r="BA90" s="131">
        <f t="shared" si="24"/>
        <v>0</v>
      </c>
      <c r="BB90" s="131">
        <f t="shared" si="24"/>
        <v>0</v>
      </c>
      <c r="BC90" s="131">
        <f t="shared" si="24"/>
        <v>0</v>
      </c>
      <c r="BD90" s="131">
        <f t="shared" si="24"/>
        <v>0</v>
      </c>
      <c r="BE90" s="131">
        <f t="shared" si="24"/>
        <v>0</v>
      </c>
      <c r="BF90" s="131">
        <f t="shared" si="24"/>
        <v>0</v>
      </c>
      <c r="BG90" s="131">
        <f t="shared" si="24"/>
        <v>0</v>
      </c>
      <c r="BH90" s="131">
        <f t="shared" si="24"/>
        <v>0</v>
      </c>
      <c r="BI90" s="131">
        <f t="shared" si="24"/>
        <v>0</v>
      </c>
      <c r="BJ90" s="131">
        <f t="shared" si="24"/>
        <v>0</v>
      </c>
      <c r="BK90" s="131">
        <f t="shared" si="24"/>
        <v>0</v>
      </c>
      <c r="BL90" s="131">
        <f t="shared" si="24"/>
        <v>0</v>
      </c>
      <c r="BM90" s="131">
        <f t="shared" si="24"/>
        <v>0</v>
      </c>
      <c r="BN90" s="131">
        <f t="shared" si="24"/>
        <v>0</v>
      </c>
      <c r="BO90" s="131">
        <f t="shared" si="24"/>
        <v>0</v>
      </c>
      <c r="BP90" s="131">
        <f t="shared" si="24"/>
        <v>0</v>
      </c>
      <c r="BQ90" s="131">
        <f t="shared" si="24"/>
        <v>0</v>
      </c>
      <c r="BR90" s="131">
        <f t="shared" si="24"/>
        <v>0</v>
      </c>
      <c r="BS90" s="131">
        <f t="shared" si="24"/>
        <v>0</v>
      </c>
      <c r="BT90" s="131">
        <f t="shared" si="24"/>
        <v>0</v>
      </c>
      <c r="BU90" s="131">
        <f t="shared" si="24"/>
        <v>0</v>
      </c>
      <c r="BV90" s="131">
        <f t="shared" si="24"/>
        <v>0</v>
      </c>
      <c r="BW90" s="131">
        <f t="shared" si="24"/>
        <v>0</v>
      </c>
      <c r="BX90" s="131">
        <f t="shared" si="24"/>
        <v>0</v>
      </c>
      <c r="BY90" s="131">
        <f t="shared" si="24"/>
        <v>0</v>
      </c>
      <c r="BZ90" s="131">
        <f t="shared" si="24"/>
        <v>0</v>
      </c>
      <c r="CA90" s="131">
        <f t="shared" si="24"/>
        <v>0</v>
      </c>
      <c r="CB90" s="131">
        <f t="shared" si="24"/>
        <v>0</v>
      </c>
      <c r="CC90" s="131">
        <f t="shared" si="24"/>
        <v>0</v>
      </c>
      <c r="CD90" s="131">
        <f t="shared" si="24"/>
        <v>0</v>
      </c>
      <c r="CE90" s="131">
        <f aca="true" t="shared" si="25" ref="CE90:CN90">IF(CE$88=$D$92,$G$94,0)</f>
        <v>0</v>
      </c>
      <c r="CF90" s="131">
        <f t="shared" si="25"/>
        <v>0</v>
      </c>
      <c r="CG90" s="131">
        <f t="shared" si="25"/>
        <v>0</v>
      </c>
      <c r="CH90" s="131">
        <f t="shared" si="25"/>
        <v>0</v>
      </c>
      <c r="CI90" s="131">
        <f t="shared" si="25"/>
        <v>0</v>
      </c>
      <c r="CJ90" s="131">
        <f t="shared" si="25"/>
        <v>0</v>
      </c>
      <c r="CK90" s="131">
        <f t="shared" si="25"/>
        <v>0</v>
      </c>
      <c r="CL90" s="131">
        <f t="shared" si="25"/>
        <v>0</v>
      </c>
      <c r="CM90" s="131">
        <f t="shared" si="25"/>
        <v>0</v>
      </c>
      <c r="CN90" s="131">
        <f t="shared" si="25"/>
        <v>0</v>
      </c>
    </row>
    <row r="91" spans="2:92" ht="12.75" customHeight="1">
      <c r="B91" s="123"/>
      <c r="D91" s="132"/>
      <c r="E91" s="133"/>
      <c r="F91" s="134"/>
      <c r="G91" s="135"/>
      <c r="H91" s="136"/>
      <c r="K91" s="137"/>
      <c r="L91" s="38"/>
      <c r="M91" s="38"/>
      <c r="N91" s="130"/>
      <c r="O91" s="123"/>
      <c r="R91" s="56" t="s">
        <v>149</v>
      </c>
      <c r="S91" s="131">
        <f aca="true" t="shared" si="26" ref="S91:AX91">IF(S$88=$D$97,$G$99,0)</f>
        <v>0</v>
      </c>
      <c r="T91" s="131">
        <f t="shared" si="26"/>
        <v>0</v>
      </c>
      <c r="U91" s="131">
        <f t="shared" si="26"/>
        <v>0</v>
      </c>
      <c r="V91" s="131">
        <f t="shared" si="26"/>
        <v>0</v>
      </c>
      <c r="W91" s="131">
        <f t="shared" si="26"/>
        <v>0</v>
      </c>
      <c r="X91" s="131">
        <f t="shared" si="26"/>
        <v>0</v>
      </c>
      <c r="Y91" s="131">
        <f t="shared" si="26"/>
        <v>0</v>
      </c>
      <c r="Z91" s="131">
        <f t="shared" si="26"/>
        <v>0</v>
      </c>
      <c r="AA91" s="131">
        <f t="shared" si="26"/>
        <v>0</v>
      </c>
      <c r="AB91" s="131">
        <f t="shared" si="26"/>
        <v>0</v>
      </c>
      <c r="AC91" s="131">
        <f t="shared" si="26"/>
        <v>0</v>
      </c>
      <c r="AD91" s="131">
        <f t="shared" si="26"/>
        <v>0</v>
      </c>
      <c r="AE91" s="131">
        <f t="shared" si="26"/>
        <v>0</v>
      </c>
      <c r="AF91" s="131">
        <f t="shared" si="26"/>
        <v>0</v>
      </c>
      <c r="AG91" s="131">
        <f t="shared" si="26"/>
        <v>0</v>
      </c>
      <c r="AH91" s="131">
        <f t="shared" si="26"/>
        <v>0</v>
      </c>
      <c r="AI91" s="131">
        <f t="shared" si="26"/>
        <v>0</v>
      </c>
      <c r="AJ91" s="131">
        <f t="shared" si="26"/>
        <v>0</v>
      </c>
      <c r="AK91" s="131">
        <f t="shared" si="26"/>
        <v>0</v>
      </c>
      <c r="AL91" s="131">
        <f t="shared" si="26"/>
        <v>0</v>
      </c>
      <c r="AM91" s="131">
        <f t="shared" si="26"/>
        <v>0</v>
      </c>
      <c r="AN91" s="131">
        <f t="shared" si="26"/>
        <v>0</v>
      </c>
      <c r="AO91" s="131">
        <f t="shared" si="26"/>
        <v>0</v>
      </c>
      <c r="AP91" s="131">
        <f t="shared" si="26"/>
        <v>0</v>
      </c>
      <c r="AQ91" s="131">
        <f t="shared" si="26"/>
        <v>0</v>
      </c>
      <c r="AR91" s="131">
        <f t="shared" si="26"/>
        <v>0</v>
      </c>
      <c r="AS91" s="131">
        <f t="shared" si="26"/>
        <v>0</v>
      </c>
      <c r="AT91" s="131">
        <f t="shared" si="26"/>
        <v>0</v>
      </c>
      <c r="AU91" s="131">
        <f t="shared" si="26"/>
        <v>0</v>
      </c>
      <c r="AV91" s="131">
        <f t="shared" si="26"/>
        <v>0</v>
      </c>
      <c r="AW91" s="131">
        <f t="shared" si="26"/>
        <v>0</v>
      </c>
      <c r="AX91" s="131">
        <f t="shared" si="26"/>
        <v>0</v>
      </c>
      <c r="AY91" s="131">
        <f aca="true" t="shared" si="27" ref="AY91:CD91">IF(AY$88=$D$97,$G$99,0)</f>
        <v>0</v>
      </c>
      <c r="AZ91" s="131">
        <f t="shared" si="27"/>
        <v>0</v>
      </c>
      <c r="BA91" s="131">
        <f t="shared" si="27"/>
        <v>0</v>
      </c>
      <c r="BB91" s="131">
        <f t="shared" si="27"/>
        <v>0</v>
      </c>
      <c r="BC91" s="131">
        <f t="shared" si="27"/>
        <v>0</v>
      </c>
      <c r="BD91" s="131">
        <f t="shared" si="27"/>
        <v>0</v>
      </c>
      <c r="BE91" s="131">
        <f t="shared" si="27"/>
        <v>0</v>
      </c>
      <c r="BF91" s="131">
        <f t="shared" si="27"/>
        <v>0</v>
      </c>
      <c r="BG91" s="131">
        <f t="shared" si="27"/>
        <v>0</v>
      </c>
      <c r="BH91" s="131">
        <f t="shared" si="27"/>
        <v>0</v>
      </c>
      <c r="BI91" s="131">
        <f t="shared" si="27"/>
        <v>0</v>
      </c>
      <c r="BJ91" s="131">
        <f t="shared" si="27"/>
        <v>0</v>
      </c>
      <c r="BK91" s="131">
        <f t="shared" si="27"/>
        <v>0</v>
      </c>
      <c r="BL91" s="131">
        <f t="shared" si="27"/>
        <v>0</v>
      </c>
      <c r="BM91" s="131">
        <f t="shared" si="27"/>
        <v>0</v>
      </c>
      <c r="BN91" s="131">
        <f t="shared" si="27"/>
        <v>0</v>
      </c>
      <c r="BO91" s="131">
        <f t="shared" si="27"/>
        <v>0</v>
      </c>
      <c r="BP91" s="131">
        <f t="shared" si="27"/>
        <v>0</v>
      </c>
      <c r="BQ91" s="131">
        <f t="shared" si="27"/>
        <v>0</v>
      </c>
      <c r="BR91" s="131">
        <f t="shared" si="27"/>
        <v>0</v>
      </c>
      <c r="BS91" s="131">
        <f t="shared" si="27"/>
        <v>0</v>
      </c>
      <c r="BT91" s="131">
        <f t="shared" si="27"/>
        <v>0</v>
      </c>
      <c r="BU91" s="131">
        <f t="shared" si="27"/>
        <v>0</v>
      </c>
      <c r="BV91" s="131">
        <f t="shared" si="27"/>
        <v>0</v>
      </c>
      <c r="BW91" s="131">
        <f t="shared" si="27"/>
        <v>0</v>
      </c>
      <c r="BX91" s="131">
        <f t="shared" si="27"/>
        <v>0</v>
      </c>
      <c r="BY91" s="131">
        <f t="shared" si="27"/>
        <v>0</v>
      </c>
      <c r="BZ91" s="131">
        <f t="shared" si="27"/>
        <v>0</v>
      </c>
      <c r="CA91" s="131">
        <f t="shared" si="27"/>
        <v>0</v>
      </c>
      <c r="CB91" s="131">
        <f t="shared" si="27"/>
        <v>0</v>
      </c>
      <c r="CC91" s="131">
        <f t="shared" si="27"/>
        <v>0</v>
      </c>
      <c r="CD91" s="131">
        <f t="shared" si="27"/>
        <v>0</v>
      </c>
      <c r="CE91" s="131">
        <f aca="true" t="shared" si="28" ref="CE91:CN91">IF(CE$88=$D$97,$G$99,0)</f>
        <v>0</v>
      </c>
      <c r="CF91" s="131">
        <f t="shared" si="28"/>
        <v>0</v>
      </c>
      <c r="CG91" s="131">
        <f t="shared" si="28"/>
        <v>0</v>
      </c>
      <c r="CH91" s="131">
        <f t="shared" si="28"/>
        <v>0</v>
      </c>
      <c r="CI91" s="131">
        <f t="shared" si="28"/>
        <v>0</v>
      </c>
      <c r="CJ91" s="131">
        <f t="shared" si="28"/>
        <v>0</v>
      </c>
      <c r="CK91" s="131">
        <f t="shared" si="28"/>
        <v>0</v>
      </c>
      <c r="CL91" s="131">
        <f t="shared" si="28"/>
        <v>0</v>
      </c>
      <c r="CM91" s="131">
        <f t="shared" si="28"/>
        <v>0</v>
      </c>
      <c r="CN91" s="131">
        <f t="shared" si="28"/>
        <v>0</v>
      </c>
    </row>
    <row r="92" spans="2:92" ht="15" customHeight="1">
      <c r="B92" s="123"/>
      <c r="D92" s="138">
        <v>1</v>
      </c>
      <c r="E92" s="139">
        <v>5</v>
      </c>
      <c r="F92" s="87"/>
      <c r="G92" s="41"/>
      <c r="H92" s="112">
        <v>0.02</v>
      </c>
      <c r="K92" s="38">
        <f>(G92*((1+H92)^E92))/(E92*12)</f>
        <v>0</v>
      </c>
      <c r="L92" s="38">
        <f>K92*12</f>
        <v>0</v>
      </c>
      <c r="M92" s="38">
        <f>K92*E92*12</f>
        <v>0</v>
      </c>
      <c r="N92" s="130"/>
      <c r="O92" s="123"/>
      <c r="R92" s="56" t="s">
        <v>150</v>
      </c>
      <c r="S92" s="131">
        <f aca="true" t="shared" si="29" ref="S92:AX92">IF(S$88=$D$102,$G$104,0)</f>
        <v>0</v>
      </c>
      <c r="T92" s="131">
        <f t="shared" si="29"/>
        <v>0</v>
      </c>
      <c r="U92" s="131">
        <f t="shared" si="29"/>
        <v>0</v>
      </c>
      <c r="V92" s="131">
        <f t="shared" si="29"/>
        <v>0</v>
      </c>
      <c r="W92" s="131">
        <f t="shared" si="29"/>
        <v>0</v>
      </c>
      <c r="X92" s="131">
        <f t="shared" si="29"/>
        <v>0</v>
      </c>
      <c r="Y92" s="131">
        <f t="shared" si="29"/>
        <v>0</v>
      </c>
      <c r="Z92" s="131">
        <f t="shared" si="29"/>
        <v>0</v>
      </c>
      <c r="AA92" s="131">
        <f t="shared" si="29"/>
        <v>0</v>
      </c>
      <c r="AB92" s="131">
        <f t="shared" si="29"/>
        <v>0</v>
      </c>
      <c r="AC92" s="131">
        <f t="shared" si="29"/>
        <v>0</v>
      </c>
      <c r="AD92" s="131">
        <f t="shared" si="29"/>
        <v>0</v>
      </c>
      <c r="AE92" s="131">
        <f t="shared" si="29"/>
        <v>0</v>
      </c>
      <c r="AF92" s="131">
        <f t="shared" si="29"/>
        <v>0</v>
      </c>
      <c r="AG92" s="131">
        <f t="shared" si="29"/>
        <v>0</v>
      </c>
      <c r="AH92" s="131">
        <f t="shared" si="29"/>
        <v>0</v>
      </c>
      <c r="AI92" s="131">
        <f t="shared" si="29"/>
        <v>0</v>
      </c>
      <c r="AJ92" s="131">
        <f t="shared" si="29"/>
        <v>0</v>
      </c>
      <c r="AK92" s="131">
        <f t="shared" si="29"/>
        <v>0</v>
      </c>
      <c r="AL92" s="131">
        <f t="shared" si="29"/>
        <v>0</v>
      </c>
      <c r="AM92" s="131">
        <f t="shared" si="29"/>
        <v>0</v>
      </c>
      <c r="AN92" s="131">
        <f t="shared" si="29"/>
        <v>0</v>
      </c>
      <c r="AO92" s="131">
        <f t="shared" si="29"/>
        <v>0</v>
      </c>
      <c r="AP92" s="131">
        <f t="shared" si="29"/>
        <v>0</v>
      </c>
      <c r="AQ92" s="131">
        <f t="shared" si="29"/>
        <v>0</v>
      </c>
      <c r="AR92" s="131">
        <f t="shared" si="29"/>
        <v>0</v>
      </c>
      <c r="AS92" s="131">
        <f t="shared" si="29"/>
        <v>0</v>
      </c>
      <c r="AT92" s="131">
        <f t="shared" si="29"/>
        <v>0</v>
      </c>
      <c r="AU92" s="131">
        <f t="shared" si="29"/>
        <v>0</v>
      </c>
      <c r="AV92" s="131">
        <f t="shared" si="29"/>
        <v>0</v>
      </c>
      <c r="AW92" s="131">
        <f t="shared" si="29"/>
        <v>0</v>
      </c>
      <c r="AX92" s="131">
        <f t="shared" si="29"/>
        <v>0</v>
      </c>
      <c r="AY92" s="131">
        <f aca="true" t="shared" si="30" ref="AY92:CD92">IF(AY$88=$D$102,$G$104,0)</f>
        <v>0</v>
      </c>
      <c r="AZ92" s="131">
        <f t="shared" si="30"/>
        <v>0</v>
      </c>
      <c r="BA92" s="131">
        <f t="shared" si="30"/>
        <v>0</v>
      </c>
      <c r="BB92" s="131">
        <f t="shared" si="30"/>
        <v>0</v>
      </c>
      <c r="BC92" s="131">
        <f t="shared" si="30"/>
        <v>0</v>
      </c>
      <c r="BD92" s="131">
        <f t="shared" si="30"/>
        <v>0</v>
      </c>
      <c r="BE92" s="131">
        <f t="shared" si="30"/>
        <v>0</v>
      </c>
      <c r="BF92" s="131">
        <f t="shared" si="30"/>
        <v>0</v>
      </c>
      <c r="BG92" s="131">
        <f t="shared" si="30"/>
        <v>0</v>
      </c>
      <c r="BH92" s="131">
        <f t="shared" si="30"/>
        <v>0</v>
      </c>
      <c r="BI92" s="131">
        <f t="shared" si="30"/>
        <v>0</v>
      </c>
      <c r="BJ92" s="131">
        <f t="shared" si="30"/>
        <v>0</v>
      </c>
      <c r="BK92" s="131">
        <f t="shared" si="30"/>
        <v>0</v>
      </c>
      <c r="BL92" s="131">
        <f t="shared" si="30"/>
        <v>0</v>
      </c>
      <c r="BM92" s="131">
        <f t="shared" si="30"/>
        <v>0</v>
      </c>
      <c r="BN92" s="131">
        <f t="shared" si="30"/>
        <v>0</v>
      </c>
      <c r="BO92" s="131">
        <f t="shared" si="30"/>
        <v>0</v>
      </c>
      <c r="BP92" s="131">
        <f t="shared" si="30"/>
        <v>0</v>
      </c>
      <c r="BQ92" s="131">
        <f t="shared" si="30"/>
        <v>0</v>
      </c>
      <c r="BR92" s="131">
        <f t="shared" si="30"/>
        <v>0</v>
      </c>
      <c r="BS92" s="131">
        <f t="shared" si="30"/>
        <v>0</v>
      </c>
      <c r="BT92" s="131">
        <f t="shared" si="30"/>
        <v>0</v>
      </c>
      <c r="BU92" s="131">
        <f t="shared" si="30"/>
        <v>0</v>
      </c>
      <c r="BV92" s="131">
        <f t="shared" si="30"/>
        <v>0</v>
      </c>
      <c r="BW92" s="131">
        <f t="shared" si="30"/>
        <v>0</v>
      </c>
      <c r="BX92" s="131">
        <f t="shared" si="30"/>
        <v>0</v>
      </c>
      <c r="BY92" s="131">
        <f t="shared" si="30"/>
        <v>0</v>
      </c>
      <c r="BZ92" s="131">
        <f t="shared" si="30"/>
        <v>0</v>
      </c>
      <c r="CA92" s="131">
        <f t="shared" si="30"/>
        <v>0</v>
      </c>
      <c r="CB92" s="131">
        <f t="shared" si="30"/>
        <v>0</v>
      </c>
      <c r="CC92" s="131">
        <f t="shared" si="30"/>
        <v>0</v>
      </c>
      <c r="CD92" s="131">
        <f t="shared" si="30"/>
        <v>0</v>
      </c>
      <c r="CE92" s="131">
        <f aca="true" t="shared" si="31" ref="CE92:CN92">IF(CE$88=$D$102,$G$104,0)</f>
        <v>0</v>
      </c>
      <c r="CF92" s="131">
        <f t="shared" si="31"/>
        <v>0</v>
      </c>
      <c r="CG92" s="131">
        <f t="shared" si="31"/>
        <v>0</v>
      </c>
      <c r="CH92" s="131">
        <f t="shared" si="31"/>
        <v>0</v>
      </c>
      <c r="CI92" s="131">
        <f t="shared" si="31"/>
        <v>0</v>
      </c>
      <c r="CJ92" s="131">
        <f t="shared" si="31"/>
        <v>0</v>
      </c>
      <c r="CK92" s="131">
        <f t="shared" si="31"/>
        <v>0</v>
      </c>
      <c r="CL92" s="131">
        <f t="shared" si="31"/>
        <v>0</v>
      </c>
      <c r="CM92" s="131">
        <f t="shared" si="31"/>
        <v>0</v>
      </c>
      <c r="CN92" s="131">
        <f t="shared" si="31"/>
        <v>0</v>
      </c>
    </row>
    <row r="93" spans="2:92" ht="15" customHeight="1">
      <c r="B93" s="123"/>
      <c r="D93" s="57" t="str">
        <f>"(Pay back in yr "&amp;D92+E92&amp;" )"</f>
        <v>(Pay back in yr 6 )</v>
      </c>
      <c r="E93" s="78"/>
      <c r="F93" s="87"/>
      <c r="G93" s="41"/>
      <c r="H93" s="112">
        <v>0.04</v>
      </c>
      <c r="K93" s="38">
        <f>(G93*((1+H93)^E92))/(E92*12)</f>
        <v>0</v>
      </c>
      <c r="L93" s="38">
        <f>K93*12</f>
        <v>0</v>
      </c>
      <c r="M93" s="38">
        <f>K93*E92*12</f>
        <v>0</v>
      </c>
      <c r="N93" s="130"/>
      <c r="O93" s="123"/>
      <c r="R93" s="56" t="s">
        <v>151</v>
      </c>
      <c r="S93" s="131">
        <f aca="true" t="shared" si="32" ref="S93:AX93">IF(S$88=$D$106,$G$108,0)</f>
        <v>0</v>
      </c>
      <c r="T93" s="131">
        <f t="shared" si="32"/>
        <v>0</v>
      </c>
      <c r="U93" s="131">
        <f t="shared" si="32"/>
        <v>0</v>
      </c>
      <c r="V93" s="131">
        <f t="shared" si="32"/>
        <v>0</v>
      </c>
      <c r="W93" s="131">
        <f t="shared" si="32"/>
        <v>0</v>
      </c>
      <c r="X93" s="131">
        <f t="shared" si="32"/>
        <v>0</v>
      </c>
      <c r="Y93" s="131">
        <f t="shared" si="32"/>
        <v>0</v>
      </c>
      <c r="Z93" s="131">
        <f t="shared" si="32"/>
        <v>0</v>
      </c>
      <c r="AA93" s="131">
        <f t="shared" si="32"/>
        <v>0</v>
      </c>
      <c r="AB93" s="131">
        <f t="shared" si="32"/>
        <v>0</v>
      </c>
      <c r="AC93" s="131">
        <f t="shared" si="32"/>
        <v>0</v>
      </c>
      <c r="AD93" s="131">
        <f t="shared" si="32"/>
        <v>0</v>
      </c>
      <c r="AE93" s="131">
        <f t="shared" si="32"/>
        <v>0</v>
      </c>
      <c r="AF93" s="131">
        <f t="shared" si="32"/>
        <v>0</v>
      </c>
      <c r="AG93" s="131">
        <f t="shared" si="32"/>
        <v>0</v>
      </c>
      <c r="AH93" s="131">
        <f t="shared" si="32"/>
        <v>0</v>
      </c>
      <c r="AI93" s="131">
        <f t="shared" si="32"/>
        <v>0</v>
      </c>
      <c r="AJ93" s="131">
        <f t="shared" si="32"/>
        <v>0</v>
      </c>
      <c r="AK93" s="131">
        <f t="shared" si="32"/>
        <v>0</v>
      </c>
      <c r="AL93" s="131">
        <f t="shared" si="32"/>
        <v>0</v>
      </c>
      <c r="AM93" s="131">
        <f t="shared" si="32"/>
        <v>0</v>
      </c>
      <c r="AN93" s="131">
        <f t="shared" si="32"/>
        <v>0</v>
      </c>
      <c r="AO93" s="131">
        <f t="shared" si="32"/>
        <v>0</v>
      </c>
      <c r="AP93" s="131">
        <f t="shared" si="32"/>
        <v>0</v>
      </c>
      <c r="AQ93" s="131">
        <f t="shared" si="32"/>
        <v>0</v>
      </c>
      <c r="AR93" s="131">
        <f t="shared" si="32"/>
        <v>0</v>
      </c>
      <c r="AS93" s="131">
        <f t="shared" si="32"/>
        <v>0</v>
      </c>
      <c r="AT93" s="131">
        <f t="shared" si="32"/>
        <v>0</v>
      </c>
      <c r="AU93" s="131">
        <f t="shared" si="32"/>
        <v>0</v>
      </c>
      <c r="AV93" s="131">
        <f t="shared" si="32"/>
        <v>0</v>
      </c>
      <c r="AW93" s="131">
        <f t="shared" si="32"/>
        <v>0</v>
      </c>
      <c r="AX93" s="131">
        <f t="shared" si="32"/>
        <v>0</v>
      </c>
      <c r="AY93" s="131">
        <f aca="true" t="shared" si="33" ref="AY93:CD93">IF(AY$88=$D$106,$G$108,0)</f>
        <v>0</v>
      </c>
      <c r="AZ93" s="131">
        <f t="shared" si="33"/>
        <v>0</v>
      </c>
      <c r="BA93" s="131">
        <f t="shared" si="33"/>
        <v>0</v>
      </c>
      <c r="BB93" s="131">
        <f t="shared" si="33"/>
        <v>0</v>
      </c>
      <c r="BC93" s="131">
        <f t="shared" si="33"/>
        <v>0</v>
      </c>
      <c r="BD93" s="131">
        <f t="shared" si="33"/>
        <v>0</v>
      </c>
      <c r="BE93" s="131">
        <f t="shared" si="33"/>
        <v>0</v>
      </c>
      <c r="BF93" s="131">
        <f t="shared" si="33"/>
        <v>0</v>
      </c>
      <c r="BG93" s="131">
        <f t="shared" si="33"/>
        <v>0</v>
      </c>
      <c r="BH93" s="131">
        <f t="shared" si="33"/>
        <v>0</v>
      </c>
      <c r="BI93" s="131">
        <f t="shared" si="33"/>
        <v>0</v>
      </c>
      <c r="BJ93" s="131">
        <f t="shared" si="33"/>
        <v>0</v>
      </c>
      <c r="BK93" s="131">
        <f t="shared" si="33"/>
        <v>0</v>
      </c>
      <c r="BL93" s="131">
        <f t="shared" si="33"/>
        <v>0</v>
      </c>
      <c r="BM93" s="131">
        <f t="shared" si="33"/>
        <v>0</v>
      </c>
      <c r="BN93" s="131">
        <f t="shared" si="33"/>
        <v>0</v>
      </c>
      <c r="BO93" s="131">
        <f t="shared" si="33"/>
        <v>0</v>
      </c>
      <c r="BP93" s="131">
        <f t="shared" si="33"/>
        <v>0</v>
      </c>
      <c r="BQ93" s="131">
        <f t="shared" si="33"/>
        <v>0</v>
      </c>
      <c r="BR93" s="131">
        <f t="shared" si="33"/>
        <v>0</v>
      </c>
      <c r="BS93" s="131">
        <f t="shared" si="33"/>
        <v>0</v>
      </c>
      <c r="BT93" s="131">
        <f t="shared" si="33"/>
        <v>0</v>
      </c>
      <c r="BU93" s="131">
        <f t="shared" si="33"/>
        <v>0</v>
      </c>
      <c r="BV93" s="131">
        <f t="shared" si="33"/>
        <v>0</v>
      </c>
      <c r="BW93" s="131">
        <f t="shared" si="33"/>
        <v>0</v>
      </c>
      <c r="BX93" s="131">
        <f t="shared" si="33"/>
        <v>0</v>
      </c>
      <c r="BY93" s="131">
        <f t="shared" si="33"/>
        <v>0</v>
      </c>
      <c r="BZ93" s="131">
        <f t="shared" si="33"/>
        <v>0</v>
      </c>
      <c r="CA93" s="131">
        <f t="shared" si="33"/>
        <v>0</v>
      </c>
      <c r="CB93" s="131">
        <f t="shared" si="33"/>
        <v>0</v>
      </c>
      <c r="CC93" s="131">
        <f t="shared" si="33"/>
        <v>0</v>
      </c>
      <c r="CD93" s="131">
        <f t="shared" si="33"/>
        <v>0</v>
      </c>
      <c r="CE93" s="131">
        <f aca="true" t="shared" si="34" ref="CE93:CN93">IF(CE$88=$D$106,$G$108,0)</f>
        <v>0</v>
      </c>
      <c r="CF93" s="131">
        <f t="shared" si="34"/>
        <v>0</v>
      </c>
      <c r="CG93" s="131">
        <f t="shared" si="34"/>
        <v>0</v>
      </c>
      <c r="CH93" s="131">
        <f t="shared" si="34"/>
        <v>0</v>
      </c>
      <c r="CI93" s="131">
        <f t="shared" si="34"/>
        <v>0</v>
      </c>
      <c r="CJ93" s="131">
        <f t="shared" si="34"/>
        <v>0</v>
      </c>
      <c r="CK93" s="131">
        <f t="shared" si="34"/>
        <v>0</v>
      </c>
      <c r="CL93" s="131">
        <f t="shared" si="34"/>
        <v>0</v>
      </c>
      <c r="CM93" s="131">
        <f t="shared" si="34"/>
        <v>0</v>
      </c>
      <c r="CN93" s="131">
        <f t="shared" si="34"/>
        <v>0</v>
      </c>
    </row>
    <row r="94" spans="2:92" ht="12.75" customHeight="1">
      <c r="B94" s="123"/>
      <c r="E94" s="78"/>
      <c r="F94" s="140" t="s">
        <v>152</v>
      </c>
      <c r="G94" s="43">
        <f>SUM(G92:G93)</f>
        <v>0</v>
      </c>
      <c r="H94" s="89"/>
      <c r="K94" s="43">
        <f>SUM(K92:K93)</f>
        <v>0</v>
      </c>
      <c r="L94" s="43">
        <f>SUM(L92:L93)</f>
        <v>0</v>
      </c>
      <c r="M94" s="43">
        <f>SUM(M92:M93)</f>
        <v>0</v>
      </c>
      <c r="O94" s="123"/>
      <c r="R94" s="56" t="s">
        <v>153</v>
      </c>
      <c r="S94" s="131">
        <f aca="true" t="shared" si="35" ref="S94:AX94">IF(S$88=$D$110,$G$112,0)</f>
        <v>0</v>
      </c>
      <c r="T94" s="131">
        <f t="shared" si="35"/>
        <v>0</v>
      </c>
      <c r="U94" s="131">
        <f t="shared" si="35"/>
        <v>0</v>
      </c>
      <c r="V94" s="131">
        <f t="shared" si="35"/>
        <v>0</v>
      </c>
      <c r="W94" s="131">
        <f t="shared" si="35"/>
        <v>0</v>
      </c>
      <c r="X94" s="131">
        <f t="shared" si="35"/>
        <v>0</v>
      </c>
      <c r="Y94" s="131">
        <f t="shared" si="35"/>
        <v>0</v>
      </c>
      <c r="Z94" s="131">
        <f t="shared" si="35"/>
        <v>0</v>
      </c>
      <c r="AA94" s="131">
        <f t="shared" si="35"/>
        <v>0</v>
      </c>
      <c r="AB94" s="131">
        <f t="shared" si="35"/>
        <v>0</v>
      </c>
      <c r="AC94" s="131">
        <f t="shared" si="35"/>
        <v>0</v>
      </c>
      <c r="AD94" s="131">
        <f t="shared" si="35"/>
        <v>0</v>
      </c>
      <c r="AE94" s="131">
        <f t="shared" si="35"/>
        <v>0</v>
      </c>
      <c r="AF94" s="131">
        <f t="shared" si="35"/>
        <v>0</v>
      </c>
      <c r="AG94" s="131">
        <f t="shared" si="35"/>
        <v>0</v>
      </c>
      <c r="AH94" s="131">
        <f t="shared" si="35"/>
        <v>0</v>
      </c>
      <c r="AI94" s="131">
        <f t="shared" si="35"/>
        <v>0</v>
      </c>
      <c r="AJ94" s="131">
        <f t="shared" si="35"/>
        <v>0</v>
      </c>
      <c r="AK94" s="131">
        <f t="shared" si="35"/>
        <v>0</v>
      </c>
      <c r="AL94" s="131">
        <f t="shared" si="35"/>
        <v>0</v>
      </c>
      <c r="AM94" s="131">
        <f t="shared" si="35"/>
        <v>0</v>
      </c>
      <c r="AN94" s="131">
        <f t="shared" si="35"/>
        <v>0</v>
      </c>
      <c r="AO94" s="131">
        <f t="shared" si="35"/>
        <v>0</v>
      </c>
      <c r="AP94" s="131">
        <f t="shared" si="35"/>
        <v>0</v>
      </c>
      <c r="AQ94" s="131">
        <f t="shared" si="35"/>
        <v>0</v>
      </c>
      <c r="AR94" s="131">
        <f t="shared" si="35"/>
        <v>0</v>
      </c>
      <c r="AS94" s="131">
        <f t="shared" si="35"/>
        <v>0</v>
      </c>
      <c r="AT94" s="131">
        <f t="shared" si="35"/>
        <v>0</v>
      </c>
      <c r="AU94" s="131">
        <f t="shared" si="35"/>
        <v>0</v>
      </c>
      <c r="AV94" s="131">
        <f t="shared" si="35"/>
        <v>0</v>
      </c>
      <c r="AW94" s="131">
        <f t="shared" si="35"/>
        <v>0</v>
      </c>
      <c r="AX94" s="131">
        <f t="shared" si="35"/>
        <v>0</v>
      </c>
      <c r="AY94" s="131">
        <f aca="true" t="shared" si="36" ref="AY94:CD94">IF(AY$88=$D$110,$G$112,0)</f>
        <v>0</v>
      </c>
      <c r="AZ94" s="131">
        <f t="shared" si="36"/>
        <v>0</v>
      </c>
      <c r="BA94" s="131">
        <f t="shared" si="36"/>
        <v>0</v>
      </c>
      <c r="BB94" s="131">
        <f t="shared" si="36"/>
        <v>0</v>
      </c>
      <c r="BC94" s="131">
        <f t="shared" si="36"/>
        <v>0</v>
      </c>
      <c r="BD94" s="131">
        <f t="shared" si="36"/>
        <v>0</v>
      </c>
      <c r="BE94" s="131">
        <f t="shared" si="36"/>
        <v>0</v>
      </c>
      <c r="BF94" s="131">
        <f t="shared" si="36"/>
        <v>0</v>
      </c>
      <c r="BG94" s="131">
        <f t="shared" si="36"/>
        <v>0</v>
      </c>
      <c r="BH94" s="131">
        <f t="shared" si="36"/>
        <v>0</v>
      </c>
      <c r="BI94" s="131">
        <f t="shared" si="36"/>
        <v>0</v>
      </c>
      <c r="BJ94" s="131">
        <f t="shared" si="36"/>
        <v>0</v>
      </c>
      <c r="BK94" s="131">
        <f t="shared" si="36"/>
        <v>0</v>
      </c>
      <c r="BL94" s="131">
        <f t="shared" si="36"/>
        <v>0</v>
      </c>
      <c r="BM94" s="131">
        <f t="shared" si="36"/>
        <v>0</v>
      </c>
      <c r="BN94" s="131">
        <f t="shared" si="36"/>
        <v>0</v>
      </c>
      <c r="BO94" s="131">
        <f t="shared" si="36"/>
        <v>0</v>
      </c>
      <c r="BP94" s="131">
        <f t="shared" si="36"/>
        <v>0</v>
      </c>
      <c r="BQ94" s="131">
        <f t="shared" si="36"/>
        <v>0</v>
      </c>
      <c r="BR94" s="131">
        <f t="shared" si="36"/>
        <v>0</v>
      </c>
      <c r="BS94" s="131">
        <f t="shared" si="36"/>
        <v>0</v>
      </c>
      <c r="BT94" s="131">
        <f t="shared" si="36"/>
        <v>0</v>
      </c>
      <c r="BU94" s="131">
        <f t="shared" si="36"/>
        <v>0</v>
      </c>
      <c r="BV94" s="131">
        <f t="shared" si="36"/>
        <v>0</v>
      </c>
      <c r="BW94" s="131">
        <f t="shared" si="36"/>
        <v>0</v>
      </c>
      <c r="BX94" s="131">
        <f t="shared" si="36"/>
        <v>0</v>
      </c>
      <c r="BY94" s="131">
        <f t="shared" si="36"/>
        <v>0</v>
      </c>
      <c r="BZ94" s="131">
        <f t="shared" si="36"/>
        <v>0</v>
      </c>
      <c r="CA94" s="131">
        <f t="shared" si="36"/>
        <v>0</v>
      </c>
      <c r="CB94" s="131">
        <f t="shared" si="36"/>
        <v>0</v>
      </c>
      <c r="CC94" s="131">
        <f t="shared" si="36"/>
        <v>0</v>
      </c>
      <c r="CD94" s="131">
        <f t="shared" si="36"/>
        <v>0</v>
      </c>
      <c r="CE94" s="131">
        <f aca="true" t="shared" si="37" ref="CE94:CN94">IF(CE$88=$D$110,$G$112,0)</f>
        <v>0</v>
      </c>
      <c r="CF94" s="131">
        <f t="shared" si="37"/>
        <v>0</v>
      </c>
      <c r="CG94" s="131">
        <f t="shared" si="37"/>
        <v>0</v>
      </c>
      <c r="CH94" s="131">
        <f t="shared" si="37"/>
        <v>0</v>
      </c>
      <c r="CI94" s="131">
        <f t="shared" si="37"/>
        <v>0</v>
      </c>
      <c r="CJ94" s="131">
        <f t="shared" si="37"/>
        <v>0</v>
      </c>
      <c r="CK94" s="131">
        <f t="shared" si="37"/>
        <v>0</v>
      </c>
      <c r="CL94" s="131">
        <f t="shared" si="37"/>
        <v>0</v>
      </c>
      <c r="CM94" s="131">
        <f t="shared" si="37"/>
        <v>0</v>
      </c>
      <c r="CN94" s="131">
        <f t="shared" si="37"/>
        <v>0</v>
      </c>
    </row>
    <row r="95" spans="2:92" ht="12.75" customHeight="1">
      <c r="B95" s="123"/>
      <c r="E95" s="78"/>
      <c r="F95" s="130"/>
      <c r="G95" s="38"/>
      <c r="H95" s="141"/>
      <c r="K95" s="38"/>
      <c r="L95" s="96"/>
      <c r="M95" s="38"/>
      <c r="N95" s="130"/>
      <c r="O95" s="123"/>
      <c r="R95" s="56" t="s">
        <v>154</v>
      </c>
      <c r="S95" s="131">
        <f aca="true" t="shared" si="38" ref="S95:AX95">IF(S$88=$D$114,$G$116,0)</f>
        <v>0</v>
      </c>
      <c r="T95" s="131">
        <f t="shared" si="38"/>
        <v>0</v>
      </c>
      <c r="U95" s="131">
        <f t="shared" si="38"/>
        <v>0</v>
      </c>
      <c r="V95" s="131">
        <f t="shared" si="38"/>
        <v>0</v>
      </c>
      <c r="W95" s="131">
        <f t="shared" si="38"/>
        <v>0</v>
      </c>
      <c r="X95" s="131">
        <f t="shared" si="38"/>
        <v>0</v>
      </c>
      <c r="Y95" s="131">
        <f t="shared" si="38"/>
        <v>0</v>
      </c>
      <c r="Z95" s="131">
        <f t="shared" si="38"/>
        <v>0</v>
      </c>
      <c r="AA95" s="131">
        <f t="shared" si="38"/>
        <v>0</v>
      </c>
      <c r="AB95" s="131">
        <f t="shared" si="38"/>
        <v>0</v>
      </c>
      <c r="AC95" s="131">
        <f t="shared" si="38"/>
        <v>0</v>
      </c>
      <c r="AD95" s="131">
        <f t="shared" si="38"/>
        <v>0</v>
      </c>
      <c r="AE95" s="131">
        <f t="shared" si="38"/>
        <v>0</v>
      </c>
      <c r="AF95" s="131">
        <f t="shared" si="38"/>
        <v>0</v>
      </c>
      <c r="AG95" s="131">
        <f t="shared" si="38"/>
        <v>0</v>
      </c>
      <c r="AH95" s="131">
        <f t="shared" si="38"/>
        <v>0</v>
      </c>
      <c r="AI95" s="131">
        <f t="shared" si="38"/>
        <v>0</v>
      </c>
      <c r="AJ95" s="131">
        <f t="shared" si="38"/>
        <v>0</v>
      </c>
      <c r="AK95" s="131">
        <f t="shared" si="38"/>
        <v>0</v>
      </c>
      <c r="AL95" s="131">
        <f t="shared" si="38"/>
        <v>0</v>
      </c>
      <c r="AM95" s="131">
        <f t="shared" si="38"/>
        <v>0</v>
      </c>
      <c r="AN95" s="131">
        <f t="shared" si="38"/>
        <v>0</v>
      </c>
      <c r="AO95" s="131">
        <f t="shared" si="38"/>
        <v>0</v>
      </c>
      <c r="AP95" s="131">
        <f t="shared" si="38"/>
        <v>0</v>
      </c>
      <c r="AQ95" s="131">
        <f t="shared" si="38"/>
        <v>0</v>
      </c>
      <c r="AR95" s="131">
        <f t="shared" si="38"/>
        <v>0</v>
      </c>
      <c r="AS95" s="131">
        <f t="shared" si="38"/>
        <v>0</v>
      </c>
      <c r="AT95" s="131">
        <f t="shared" si="38"/>
        <v>0</v>
      </c>
      <c r="AU95" s="131">
        <f t="shared" si="38"/>
        <v>0</v>
      </c>
      <c r="AV95" s="131">
        <f t="shared" si="38"/>
        <v>0</v>
      </c>
      <c r="AW95" s="131">
        <f t="shared" si="38"/>
        <v>0</v>
      </c>
      <c r="AX95" s="131">
        <f t="shared" si="38"/>
        <v>0</v>
      </c>
      <c r="AY95" s="131">
        <f aca="true" t="shared" si="39" ref="AY95:CD95">IF(AY$88=$D$114,$G$116,0)</f>
        <v>0</v>
      </c>
      <c r="AZ95" s="131">
        <f t="shared" si="39"/>
        <v>0</v>
      </c>
      <c r="BA95" s="131">
        <f t="shared" si="39"/>
        <v>0</v>
      </c>
      <c r="BB95" s="131">
        <f t="shared" si="39"/>
        <v>0</v>
      </c>
      <c r="BC95" s="131">
        <f t="shared" si="39"/>
        <v>0</v>
      </c>
      <c r="BD95" s="131">
        <f t="shared" si="39"/>
        <v>0</v>
      </c>
      <c r="BE95" s="131">
        <f t="shared" si="39"/>
        <v>0</v>
      </c>
      <c r="BF95" s="131">
        <f t="shared" si="39"/>
        <v>0</v>
      </c>
      <c r="BG95" s="131">
        <f t="shared" si="39"/>
        <v>0</v>
      </c>
      <c r="BH95" s="131">
        <f t="shared" si="39"/>
        <v>0</v>
      </c>
      <c r="BI95" s="131">
        <f t="shared" si="39"/>
        <v>0</v>
      </c>
      <c r="BJ95" s="131">
        <f t="shared" si="39"/>
        <v>0</v>
      </c>
      <c r="BK95" s="131">
        <f t="shared" si="39"/>
        <v>0</v>
      </c>
      <c r="BL95" s="131">
        <f t="shared" si="39"/>
        <v>0</v>
      </c>
      <c r="BM95" s="131">
        <f t="shared" si="39"/>
        <v>0</v>
      </c>
      <c r="BN95" s="131">
        <f t="shared" si="39"/>
        <v>0</v>
      </c>
      <c r="BO95" s="131">
        <f t="shared" si="39"/>
        <v>0</v>
      </c>
      <c r="BP95" s="131">
        <f t="shared" si="39"/>
        <v>0</v>
      </c>
      <c r="BQ95" s="131">
        <f t="shared" si="39"/>
        <v>0</v>
      </c>
      <c r="BR95" s="131">
        <f t="shared" si="39"/>
        <v>0</v>
      </c>
      <c r="BS95" s="131">
        <f t="shared" si="39"/>
        <v>0</v>
      </c>
      <c r="BT95" s="131">
        <f t="shared" si="39"/>
        <v>0</v>
      </c>
      <c r="BU95" s="131">
        <f t="shared" si="39"/>
        <v>0</v>
      </c>
      <c r="BV95" s="131">
        <f t="shared" si="39"/>
        <v>0</v>
      </c>
      <c r="BW95" s="131">
        <f t="shared" si="39"/>
        <v>0</v>
      </c>
      <c r="BX95" s="131">
        <f t="shared" si="39"/>
        <v>0</v>
      </c>
      <c r="BY95" s="131">
        <f t="shared" si="39"/>
        <v>0</v>
      </c>
      <c r="BZ95" s="131">
        <f t="shared" si="39"/>
        <v>0</v>
      </c>
      <c r="CA95" s="131">
        <f t="shared" si="39"/>
        <v>0</v>
      </c>
      <c r="CB95" s="131">
        <f t="shared" si="39"/>
        <v>0</v>
      </c>
      <c r="CC95" s="131">
        <f t="shared" si="39"/>
        <v>0</v>
      </c>
      <c r="CD95" s="131">
        <f t="shared" si="39"/>
        <v>0</v>
      </c>
      <c r="CE95" s="131">
        <f aca="true" t="shared" si="40" ref="CE95:CN95">IF(CE$88=$D$114,$G$116,0)</f>
        <v>0</v>
      </c>
      <c r="CF95" s="131">
        <f t="shared" si="40"/>
        <v>0</v>
      </c>
      <c r="CG95" s="131">
        <f t="shared" si="40"/>
        <v>0</v>
      </c>
      <c r="CH95" s="131">
        <f t="shared" si="40"/>
        <v>0</v>
      </c>
      <c r="CI95" s="131">
        <f t="shared" si="40"/>
        <v>0</v>
      </c>
      <c r="CJ95" s="131">
        <f t="shared" si="40"/>
        <v>0</v>
      </c>
      <c r="CK95" s="131">
        <f t="shared" si="40"/>
        <v>0</v>
      </c>
      <c r="CL95" s="131">
        <f t="shared" si="40"/>
        <v>0</v>
      </c>
      <c r="CM95" s="131">
        <f t="shared" si="40"/>
        <v>0</v>
      </c>
      <c r="CN95" s="131">
        <f t="shared" si="40"/>
        <v>0</v>
      </c>
    </row>
    <row r="96" spans="2:92" ht="12.75" customHeight="1">
      <c r="B96" s="123"/>
      <c r="D96" s="142"/>
      <c r="F96" s="130"/>
      <c r="G96" s="38"/>
      <c r="H96" s="141"/>
      <c r="K96" s="38"/>
      <c r="L96" s="38"/>
      <c r="M96" s="38"/>
      <c r="N96" s="130"/>
      <c r="O96" s="123"/>
      <c r="R96" s="56" t="s">
        <v>155</v>
      </c>
      <c r="S96" s="131">
        <f aca="true" t="shared" si="41" ref="S96:AX96">IF(S$88=$D$118,$G$120,0)</f>
        <v>0</v>
      </c>
      <c r="T96" s="131">
        <f t="shared" si="41"/>
        <v>0</v>
      </c>
      <c r="U96" s="131">
        <f t="shared" si="41"/>
        <v>0</v>
      </c>
      <c r="V96" s="131">
        <f t="shared" si="41"/>
        <v>0</v>
      </c>
      <c r="W96" s="131">
        <f t="shared" si="41"/>
        <v>0</v>
      </c>
      <c r="X96" s="131">
        <f t="shared" si="41"/>
        <v>0</v>
      </c>
      <c r="Y96" s="131">
        <f t="shared" si="41"/>
        <v>0</v>
      </c>
      <c r="Z96" s="131">
        <f t="shared" si="41"/>
        <v>0</v>
      </c>
      <c r="AA96" s="131">
        <f t="shared" si="41"/>
        <v>0</v>
      </c>
      <c r="AB96" s="131">
        <f t="shared" si="41"/>
        <v>0</v>
      </c>
      <c r="AC96" s="131">
        <f t="shared" si="41"/>
        <v>0</v>
      </c>
      <c r="AD96" s="131">
        <f t="shared" si="41"/>
        <v>0</v>
      </c>
      <c r="AE96" s="131">
        <f t="shared" si="41"/>
        <v>0</v>
      </c>
      <c r="AF96" s="131">
        <f t="shared" si="41"/>
        <v>0</v>
      </c>
      <c r="AG96" s="131">
        <f t="shared" si="41"/>
        <v>0</v>
      </c>
      <c r="AH96" s="131">
        <f t="shared" si="41"/>
        <v>0</v>
      </c>
      <c r="AI96" s="131">
        <f t="shared" si="41"/>
        <v>0</v>
      </c>
      <c r="AJ96" s="131">
        <f t="shared" si="41"/>
        <v>0</v>
      </c>
      <c r="AK96" s="131">
        <f t="shared" si="41"/>
        <v>0</v>
      </c>
      <c r="AL96" s="131">
        <f t="shared" si="41"/>
        <v>0</v>
      </c>
      <c r="AM96" s="131">
        <f t="shared" si="41"/>
        <v>0</v>
      </c>
      <c r="AN96" s="131">
        <f t="shared" si="41"/>
        <v>0</v>
      </c>
      <c r="AO96" s="131">
        <f t="shared" si="41"/>
        <v>0</v>
      </c>
      <c r="AP96" s="131">
        <f t="shared" si="41"/>
        <v>0</v>
      </c>
      <c r="AQ96" s="131">
        <f t="shared" si="41"/>
        <v>0</v>
      </c>
      <c r="AR96" s="131">
        <f t="shared" si="41"/>
        <v>0</v>
      </c>
      <c r="AS96" s="131">
        <f t="shared" si="41"/>
        <v>0</v>
      </c>
      <c r="AT96" s="131">
        <f t="shared" si="41"/>
        <v>0</v>
      </c>
      <c r="AU96" s="131">
        <f t="shared" si="41"/>
        <v>0</v>
      </c>
      <c r="AV96" s="131">
        <f t="shared" si="41"/>
        <v>0</v>
      </c>
      <c r="AW96" s="131">
        <f t="shared" si="41"/>
        <v>0</v>
      </c>
      <c r="AX96" s="131">
        <f t="shared" si="41"/>
        <v>0</v>
      </c>
      <c r="AY96" s="131">
        <f aca="true" t="shared" si="42" ref="AY96:CD96">IF(AY$88=$D$118,$G$120,0)</f>
        <v>0</v>
      </c>
      <c r="AZ96" s="131">
        <f t="shared" si="42"/>
        <v>0</v>
      </c>
      <c r="BA96" s="131">
        <f t="shared" si="42"/>
        <v>0</v>
      </c>
      <c r="BB96" s="131">
        <f t="shared" si="42"/>
        <v>0</v>
      </c>
      <c r="BC96" s="131">
        <f t="shared" si="42"/>
        <v>0</v>
      </c>
      <c r="BD96" s="131">
        <f t="shared" si="42"/>
        <v>0</v>
      </c>
      <c r="BE96" s="131">
        <f t="shared" si="42"/>
        <v>0</v>
      </c>
      <c r="BF96" s="131">
        <f t="shared" si="42"/>
        <v>0</v>
      </c>
      <c r="BG96" s="131">
        <f t="shared" si="42"/>
        <v>0</v>
      </c>
      <c r="BH96" s="131">
        <f t="shared" si="42"/>
        <v>0</v>
      </c>
      <c r="BI96" s="131">
        <f t="shared" si="42"/>
        <v>0</v>
      </c>
      <c r="BJ96" s="131">
        <f t="shared" si="42"/>
        <v>0</v>
      </c>
      <c r="BK96" s="131">
        <f t="shared" si="42"/>
        <v>0</v>
      </c>
      <c r="BL96" s="131">
        <f t="shared" si="42"/>
        <v>0</v>
      </c>
      <c r="BM96" s="131">
        <f t="shared" si="42"/>
        <v>0</v>
      </c>
      <c r="BN96" s="131">
        <f t="shared" si="42"/>
        <v>0</v>
      </c>
      <c r="BO96" s="131">
        <f t="shared" si="42"/>
        <v>0</v>
      </c>
      <c r="BP96" s="131">
        <f t="shared" si="42"/>
        <v>0</v>
      </c>
      <c r="BQ96" s="131">
        <f t="shared" si="42"/>
        <v>0</v>
      </c>
      <c r="BR96" s="131">
        <f t="shared" si="42"/>
        <v>0</v>
      </c>
      <c r="BS96" s="131">
        <f t="shared" si="42"/>
        <v>0</v>
      </c>
      <c r="BT96" s="131">
        <f t="shared" si="42"/>
        <v>0</v>
      </c>
      <c r="BU96" s="131">
        <f t="shared" si="42"/>
        <v>0</v>
      </c>
      <c r="BV96" s="131">
        <f t="shared" si="42"/>
        <v>0</v>
      </c>
      <c r="BW96" s="131">
        <f t="shared" si="42"/>
        <v>0</v>
      </c>
      <c r="BX96" s="131">
        <f t="shared" si="42"/>
        <v>0</v>
      </c>
      <c r="BY96" s="131">
        <f t="shared" si="42"/>
        <v>0</v>
      </c>
      <c r="BZ96" s="131">
        <f t="shared" si="42"/>
        <v>0</v>
      </c>
      <c r="CA96" s="131">
        <f t="shared" si="42"/>
        <v>0</v>
      </c>
      <c r="CB96" s="131">
        <f t="shared" si="42"/>
        <v>0</v>
      </c>
      <c r="CC96" s="131">
        <f t="shared" si="42"/>
        <v>0</v>
      </c>
      <c r="CD96" s="131">
        <f t="shared" si="42"/>
        <v>0</v>
      </c>
      <c r="CE96" s="131">
        <f aca="true" t="shared" si="43" ref="CE96:CN96">IF(CE$88=$D$118,$G$120,0)</f>
        <v>0</v>
      </c>
      <c r="CF96" s="131">
        <f t="shared" si="43"/>
        <v>0</v>
      </c>
      <c r="CG96" s="131">
        <f t="shared" si="43"/>
        <v>0</v>
      </c>
      <c r="CH96" s="131">
        <f t="shared" si="43"/>
        <v>0</v>
      </c>
      <c r="CI96" s="131">
        <f t="shared" si="43"/>
        <v>0</v>
      </c>
      <c r="CJ96" s="131">
        <f t="shared" si="43"/>
        <v>0</v>
      </c>
      <c r="CK96" s="131">
        <f t="shared" si="43"/>
        <v>0</v>
      </c>
      <c r="CL96" s="131">
        <f t="shared" si="43"/>
        <v>0</v>
      </c>
      <c r="CM96" s="131">
        <f t="shared" si="43"/>
        <v>0</v>
      </c>
      <c r="CN96" s="131">
        <f t="shared" si="43"/>
        <v>0</v>
      </c>
    </row>
    <row r="97" spans="2:15" ht="15" customHeight="1">
      <c r="B97" s="123"/>
      <c r="D97" s="138">
        <v>12</v>
      </c>
      <c r="E97" s="81">
        <v>4</v>
      </c>
      <c r="F97" s="87"/>
      <c r="G97" s="41"/>
      <c r="H97" s="112">
        <v>0.02</v>
      </c>
      <c r="K97" s="38">
        <f>(G97*((1+H97)^E97))/(E97*12)</f>
        <v>0</v>
      </c>
      <c r="L97" s="38">
        <f>K97*12</f>
        <v>0</v>
      </c>
      <c r="M97" s="38">
        <f>K97*E97*12</f>
        <v>0</v>
      </c>
      <c r="N97" s="130"/>
      <c r="O97" s="123"/>
    </row>
    <row r="98" spans="2:15" ht="15" customHeight="1">
      <c r="B98" s="123"/>
      <c r="D98" s="57" t="str">
        <f>"(Pay back in yr "&amp;D97+E97&amp;" )"</f>
        <v>(Pay back in yr 16 )</v>
      </c>
      <c r="E98" s="78"/>
      <c r="F98" s="87"/>
      <c r="G98" s="41"/>
      <c r="H98" s="112">
        <v>0.04</v>
      </c>
      <c r="K98" s="38">
        <f>(G98*((1+H98)^E97))/(E97*12)</f>
        <v>0</v>
      </c>
      <c r="L98" s="38">
        <f>K98*12</f>
        <v>0</v>
      </c>
      <c r="M98" s="38">
        <f>K98*E97*12</f>
        <v>0</v>
      </c>
      <c r="N98" s="130"/>
      <c r="O98" s="123"/>
    </row>
    <row r="99" spans="2:18" ht="12.75" customHeight="1">
      <c r="B99" s="123"/>
      <c r="E99" s="78"/>
      <c r="F99" s="140" t="s">
        <v>152</v>
      </c>
      <c r="G99" s="43">
        <f>SUM(G97:G98)</f>
        <v>0</v>
      </c>
      <c r="H99" s="89"/>
      <c r="K99" s="43">
        <f>SUM(K97:K98)</f>
        <v>0</v>
      </c>
      <c r="L99" s="43">
        <f>SUM(L97:L98)</f>
        <v>0</v>
      </c>
      <c r="M99" s="43">
        <f>SUM(M97:M98)</f>
        <v>0</v>
      </c>
      <c r="O99" s="123"/>
      <c r="R99" s="56" t="s">
        <v>156</v>
      </c>
    </row>
    <row r="100" spans="2:92" ht="12.75" customHeight="1">
      <c r="B100" s="123"/>
      <c r="E100" s="78"/>
      <c r="F100" s="130"/>
      <c r="G100" s="38"/>
      <c r="H100" s="141"/>
      <c r="K100" s="38"/>
      <c r="L100" s="38"/>
      <c r="M100" s="38"/>
      <c r="N100" s="130"/>
      <c r="O100" s="123"/>
      <c r="R100" s="56" t="s">
        <v>157</v>
      </c>
      <c r="S100" s="56">
        <f aca="true" t="shared" si="44" ref="S100:AX100">SUM(S103:S109)</f>
        <v>0</v>
      </c>
      <c r="T100" s="56">
        <f t="shared" si="44"/>
        <v>0</v>
      </c>
      <c r="U100" s="56">
        <f t="shared" si="44"/>
        <v>0</v>
      </c>
      <c r="V100" s="56">
        <f t="shared" si="44"/>
        <v>0</v>
      </c>
      <c r="W100" s="56">
        <f t="shared" si="44"/>
        <v>0</v>
      </c>
      <c r="X100" s="56">
        <f t="shared" si="44"/>
        <v>0</v>
      </c>
      <c r="Y100" s="56">
        <f t="shared" si="44"/>
        <v>0</v>
      </c>
      <c r="Z100" s="56">
        <f t="shared" si="44"/>
        <v>0</v>
      </c>
      <c r="AA100" s="56">
        <f t="shared" si="44"/>
        <v>0</v>
      </c>
      <c r="AB100" s="56">
        <f t="shared" si="44"/>
        <v>0</v>
      </c>
      <c r="AC100" s="56">
        <f t="shared" si="44"/>
        <v>0</v>
      </c>
      <c r="AD100" s="56">
        <f t="shared" si="44"/>
        <v>0</v>
      </c>
      <c r="AE100" s="56">
        <f t="shared" si="44"/>
        <v>0</v>
      </c>
      <c r="AF100" s="56">
        <f t="shared" si="44"/>
        <v>0</v>
      </c>
      <c r="AG100" s="56">
        <f t="shared" si="44"/>
        <v>0</v>
      </c>
      <c r="AH100" s="56">
        <f t="shared" si="44"/>
        <v>0</v>
      </c>
      <c r="AI100" s="56">
        <f t="shared" si="44"/>
        <v>0</v>
      </c>
      <c r="AJ100" s="56">
        <f t="shared" si="44"/>
        <v>0</v>
      </c>
      <c r="AK100" s="56">
        <f t="shared" si="44"/>
        <v>0</v>
      </c>
      <c r="AL100" s="56">
        <f t="shared" si="44"/>
        <v>0</v>
      </c>
      <c r="AM100" s="56">
        <f t="shared" si="44"/>
        <v>0</v>
      </c>
      <c r="AN100" s="56">
        <f t="shared" si="44"/>
        <v>0</v>
      </c>
      <c r="AO100" s="56">
        <f t="shared" si="44"/>
        <v>0</v>
      </c>
      <c r="AP100" s="56">
        <f t="shared" si="44"/>
        <v>0</v>
      </c>
      <c r="AQ100" s="56">
        <f t="shared" si="44"/>
        <v>0</v>
      </c>
      <c r="AR100" s="56">
        <f t="shared" si="44"/>
        <v>0</v>
      </c>
      <c r="AS100" s="56">
        <f t="shared" si="44"/>
        <v>0</v>
      </c>
      <c r="AT100" s="56">
        <f t="shared" si="44"/>
        <v>0</v>
      </c>
      <c r="AU100" s="56">
        <f t="shared" si="44"/>
        <v>0</v>
      </c>
      <c r="AV100" s="56">
        <f t="shared" si="44"/>
        <v>0</v>
      </c>
      <c r="AW100" s="56">
        <f t="shared" si="44"/>
        <v>0</v>
      </c>
      <c r="AX100" s="56">
        <f t="shared" si="44"/>
        <v>0</v>
      </c>
      <c r="AY100" s="56">
        <f aca="true" t="shared" si="45" ref="AY100:CD100">SUM(AY103:AY109)</f>
        <v>0</v>
      </c>
      <c r="AZ100" s="56">
        <f t="shared" si="45"/>
        <v>0</v>
      </c>
      <c r="BA100" s="56">
        <f t="shared" si="45"/>
        <v>0</v>
      </c>
      <c r="BB100" s="56">
        <f t="shared" si="45"/>
        <v>0</v>
      </c>
      <c r="BC100" s="56">
        <f t="shared" si="45"/>
        <v>0</v>
      </c>
      <c r="BD100" s="56">
        <f t="shared" si="45"/>
        <v>0</v>
      </c>
      <c r="BE100" s="56">
        <f t="shared" si="45"/>
        <v>0</v>
      </c>
      <c r="BF100" s="56">
        <f t="shared" si="45"/>
        <v>0</v>
      </c>
      <c r="BG100" s="56">
        <f t="shared" si="45"/>
        <v>0</v>
      </c>
      <c r="BH100" s="56">
        <f t="shared" si="45"/>
        <v>0</v>
      </c>
      <c r="BI100" s="56">
        <f t="shared" si="45"/>
        <v>0</v>
      </c>
      <c r="BJ100" s="56">
        <f t="shared" si="45"/>
        <v>0</v>
      </c>
      <c r="BK100" s="56">
        <f t="shared" si="45"/>
        <v>0</v>
      </c>
      <c r="BL100" s="56">
        <f t="shared" si="45"/>
        <v>0</v>
      </c>
      <c r="BM100" s="56">
        <f t="shared" si="45"/>
        <v>0</v>
      </c>
      <c r="BN100" s="56">
        <f t="shared" si="45"/>
        <v>0</v>
      </c>
      <c r="BO100" s="56">
        <f t="shared" si="45"/>
        <v>0</v>
      </c>
      <c r="BP100" s="56">
        <f t="shared" si="45"/>
        <v>0</v>
      </c>
      <c r="BQ100" s="56">
        <f t="shared" si="45"/>
        <v>0</v>
      </c>
      <c r="BR100" s="56">
        <f t="shared" si="45"/>
        <v>0</v>
      </c>
      <c r="BS100" s="56">
        <f t="shared" si="45"/>
        <v>0</v>
      </c>
      <c r="BT100" s="56">
        <f t="shared" si="45"/>
        <v>0</v>
      </c>
      <c r="BU100" s="56">
        <f t="shared" si="45"/>
        <v>0</v>
      </c>
      <c r="BV100" s="56">
        <f t="shared" si="45"/>
        <v>0</v>
      </c>
      <c r="BW100" s="56">
        <f t="shared" si="45"/>
        <v>0</v>
      </c>
      <c r="BX100" s="56">
        <f t="shared" si="45"/>
        <v>0</v>
      </c>
      <c r="BY100" s="56">
        <f t="shared" si="45"/>
        <v>0</v>
      </c>
      <c r="BZ100" s="56">
        <f t="shared" si="45"/>
        <v>0</v>
      </c>
      <c r="CA100" s="56">
        <f t="shared" si="45"/>
        <v>0</v>
      </c>
      <c r="CB100" s="56">
        <f t="shared" si="45"/>
        <v>0</v>
      </c>
      <c r="CC100" s="56">
        <f t="shared" si="45"/>
        <v>0</v>
      </c>
      <c r="CD100" s="56">
        <f t="shared" si="45"/>
        <v>0</v>
      </c>
      <c r="CE100" s="56">
        <f aca="true" t="shared" si="46" ref="CE100:CN100">SUM(CE103:CE109)</f>
        <v>0</v>
      </c>
      <c r="CF100" s="56">
        <f t="shared" si="46"/>
        <v>0</v>
      </c>
      <c r="CG100" s="56">
        <f t="shared" si="46"/>
        <v>0</v>
      </c>
      <c r="CH100" s="56">
        <f t="shared" si="46"/>
        <v>0</v>
      </c>
      <c r="CI100" s="56">
        <f t="shared" si="46"/>
        <v>0</v>
      </c>
      <c r="CJ100" s="56">
        <f t="shared" si="46"/>
        <v>0</v>
      </c>
      <c r="CK100" s="56">
        <f t="shared" si="46"/>
        <v>0</v>
      </c>
      <c r="CL100" s="56">
        <f t="shared" si="46"/>
        <v>0</v>
      </c>
      <c r="CM100" s="56">
        <f t="shared" si="46"/>
        <v>0</v>
      </c>
      <c r="CN100" s="56">
        <f t="shared" si="46"/>
        <v>0</v>
      </c>
    </row>
    <row r="101" spans="2:92" ht="12.75" customHeight="1">
      <c r="B101" s="123"/>
      <c r="D101" s="142"/>
      <c r="F101" s="130"/>
      <c r="G101" s="38"/>
      <c r="H101" s="141"/>
      <c r="K101" s="38"/>
      <c r="L101" s="38"/>
      <c r="M101" s="38"/>
      <c r="N101" s="130"/>
      <c r="O101" s="123"/>
      <c r="R101" s="56" t="s">
        <v>145</v>
      </c>
      <c r="S101" s="57">
        <v>1</v>
      </c>
      <c r="T101" s="57">
        <f aca="true" t="shared" si="47" ref="T101:AY101">S101+1</f>
        <v>2</v>
      </c>
      <c r="U101" s="57">
        <f t="shared" si="47"/>
        <v>3</v>
      </c>
      <c r="V101" s="57">
        <f t="shared" si="47"/>
        <v>4</v>
      </c>
      <c r="W101" s="57">
        <f t="shared" si="47"/>
        <v>5</v>
      </c>
      <c r="X101" s="57">
        <f t="shared" si="47"/>
        <v>6</v>
      </c>
      <c r="Y101" s="57">
        <f t="shared" si="47"/>
        <v>7</v>
      </c>
      <c r="Z101" s="57">
        <f t="shared" si="47"/>
        <v>8</v>
      </c>
      <c r="AA101" s="57">
        <f t="shared" si="47"/>
        <v>9</v>
      </c>
      <c r="AB101" s="57">
        <f t="shared" si="47"/>
        <v>10</v>
      </c>
      <c r="AC101" s="57">
        <f t="shared" si="47"/>
        <v>11</v>
      </c>
      <c r="AD101" s="57">
        <f t="shared" si="47"/>
        <v>12</v>
      </c>
      <c r="AE101" s="57">
        <f t="shared" si="47"/>
        <v>13</v>
      </c>
      <c r="AF101" s="57">
        <f t="shared" si="47"/>
        <v>14</v>
      </c>
      <c r="AG101" s="57">
        <f t="shared" si="47"/>
        <v>15</v>
      </c>
      <c r="AH101" s="57">
        <f t="shared" si="47"/>
        <v>16</v>
      </c>
      <c r="AI101" s="57">
        <f t="shared" si="47"/>
        <v>17</v>
      </c>
      <c r="AJ101" s="57">
        <f t="shared" si="47"/>
        <v>18</v>
      </c>
      <c r="AK101" s="57">
        <f t="shared" si="47"/>
        <v>19</v>
      </c>
      <c r="AL101" s="57">
        <f t="shared" si="47"/>
        <v>20</v>
      </c>
      <c r="AM101" s="57">
        <f t="shared" si="47"/>
        <v>21</v>
      </c>
      <c r="AN101" s="57">
        <f t="shared" si="47"/>
        <v>22</v>
      </c>
      <c r="AO101" s="57">
        <f t="shared" si="47"/>
        <v>23</v>
      </c>
      <c r="AP101" s="57">
        <f t="shared" si="47"/>
        <v>24</v>
      </c>
      <c r="AQ101" s="57">
        <f t="shared" si="47"/>
        <v>25</v>
      </c>
      <c r="AR101" s="57">
        <f t="shared" si="47"/>
        <v>26</v>
      </c>
      <c r="AS101" s="57">
        <f t="shared" si="47"/>
        <v>27</v>
      </c>
      <c r="AT101" s="57">
        <f t="shared" si="47"/>
        <v>28</v>
      </c>
      <c r="AU101" s="57">
        <f t="shared" si="47"/>
        <v>29</v>
      </c>
      <c r="AV101" s="57">
        <f t="shared" si="47"/>
        <v>30</v>
      </c>
      <c r="AW101" s="57">
        <f t="shared" si="47"/>
        <v>31</v>
      </c>
      <c r="AX101" s="57">
        <f t="shared" si="47"/>
        <v>32</v>
      </c>
      <c r="AY101" s="57">
        <f t="shared" si="47"/>
        <v>33</v>
      </c>
      <c r="AZ101" s="57">
        <f aca="true" t="shared" si="48" ref="AZ101:CE101">AY101+1</f>
        <v>34</v>
      </c>
      <c r="BA101" s="57">
        <f t="shared" si="48"/>
        <v>35</v>
      </c>
      <c r="BB101" s="57">
        <f t="shared" si="48"/>
        <v>36</v>
      </c>
      <c r="BC101" s="57">
        <f t="shared" si="48"/>
        <v>37</v>
      </c>
      <c r="BD101" s="57">
        <f t="shared" si="48"/>
        <v>38</v>
      </c>
      <c r="BE101" s="57">
        <f t="shared" si="48"/>
        <v>39</v>
      </c>
      <c r="BF101" s="57">
        <f t="shared" si="48"/>
        <v>40</v>
      </c>
      <c r="BG101" s="57">
        <f t="shared" si="48"/>
        <v>41</v>
      </c>
      <c r="BH101" s="57">
        <f t="shared" si="48"/>
        <v>42</v>
      </c>
      <c r="BI101" s="57">
        <f t="shared" si="48"/>
        <v>43</v>
      </c>
      <c r="BJ101" s="57">
        <f t="shared" si="48"/>
        <v>44</v>
      </c>
      <c r="BK101" s="57">
        <f t="shared" si="48"/>
        <v>45</v>
      </c>
      <c r="BL101" s="57">
        <f t="shared" si="48"/>
        <v>46</v>
      </c>
      <c r="BM101" s="57">
        <f t="shared" si="48"/>
        <v>47</v>
      </c>
      <c r="BN101" s="57">
        <f t="shared" si="48"/>
        <v>48</v>
      </c>
      <c r="BO101" s="57">
        <f t="shared" si="48"/>
        <v>49</v>
      </c>
      <c r="BP101" s="57">
        <f t="shared" si="48"/>
        <v>50</v>
      </c>
      <c r="BQ101" s="57">
        <f t="shared" si="48"/>
        <v>51</v>
      </c>
      <c r="BR101" s="57">
        <f t="shared" si="48"/>
        <v>52</v>
      </c>
      <c r="BS101" s="57">
        <f t="shared" si="48"/>
        <v>53</v>
      </c>
      <c r="BT101" s="57">
        <f t="shared" si="48"/>
        <v>54</v>
      </c>
      <c r="BU101" s="57">
        <f t="shared" si="48"/>
        <v>55</v>
      </c>
      <c r="BV101" s="57">
        <f t="shared" si="48"/>
        <v>56</v>
      </c>
      <c r="BW101" s="57">
        <f t="shared" si="48"/>
        <v>57</v>
      </c>
      <c r="BX101" s="57">
        <f t="shared" si="48"/>
        <v>58</v>
      </c>
      <c r="BY101" s="57">
        <f t="shared" si="48"/>
        <v>59</v>
      </c>
      <c r="BZ101" s="57">
        <f t="shared" si="48"/>
        <v>60</v>
      </c>
      <c r="CA101" s="57">
        <f t="shared" si="48"/>
        <v>61</v>
      </c>
      <c r="CB101" s="57">
        <f t="shared" si="48"/>
        <v>62</v>
      </c>
      <c r="CC101" s="57">
        <f t="shared" si="48"/>
        <v>63</v>
      </c>
      <c r="CD101" s="57">
        <f t="shared" si="48"/>
        <v>64</v>
      </c>
      <c r="CE101" s="57">
        <f t="shared" si="48"/>
        <v>65</v>
      </c>
      <c r="CF101" s="57">
        <f aca="true" t="shared" si="49" ref="CF101:CN101">CE101+1</f>
        <v>66</v>
      </c>
      <c r="CG101" s="57">
        <f t="shared" si="49"/>
        <v>67</v>
      </c>
      <c r="CH101" s="57">
        <f t="shared" si="49"/>
        <v>68</v>
      </c>
      <c r="CI101" s="57">
        <f t="shared" si="49"/>
        <v>69</v>
      </c>
      <c r="CJ101" s="57">
        <f t="shared" si="49"/>
        <v>70</v>
      </c>
      <c r="CK101" s="57">
        <f t="shared" si="49"/>
        <v>71</v>
      </c>
      <c r="CL101" s="57">
        <f t="shared" si="49"/>
        <v>72</v>
      </c>
      <c r="CM101" s="57">
        <f t="shared" si="49"/>
        <v>73</v>
      </c>
      <c r="CN101" s="57">
        <f t="shared" si="49"/>
        <v>74</v>
      </c>
    </row>
    <row r="102" spans="2:15" ht="15" customHeight="1">
      <c r="B102" s="123"/>
      <c r="D102" s="138">
        <v>15</v>
      </c>
      <c r="E102" s="139">
        <v>10</v>
      </c>
      <c r="F102" s="87"/>
      <c r="G102" s="41"/>
      <c r="H102" s="112">
        <v>0.02</v>
      </c>
      <c r="K102" s="38">
        <f>(G102*((1+H102)^E102))/(E102*12)</f>
        <v>0</v>
      </c>
      <c r="L102" s="38">
        <f>K102*12</f>
        <v>0</v>
      </c>
      <c r="M102" s="38">
        <f>K102*E102*12</f>
        <v>0</v>
      </c>
      <c r="N102" s="130"/>
      <c r="O102" s="123"/>
    </row>
    <row r="103" spans="2:92" ht="15" customHeight="1">
      <c r="B103" s="123"/>
      <c r="D103" s="57" t="str">
        <f>"(Pay back in yr "&amp;D102+E102&amp;" )"</f>
        <v>(Pay back in yr 25 )</v>
      </c>
      <c r="E103" s="78"/>
      <c r="F103" s="87"/>
      <c r="G103" s="41"/>
      <c r="H103" s="112">
        <v>0.04</v>
      </c>
      <c r="K103" s="38">
        <f>(G103*((1+H103)^E102))/(E102*12)</f>
        <v>0</v>
      </c>
      <c r="L103" s="38">
        <f>K103*12</f>
        <v>0</v>
      </c>
      <c r="M103" s="38">
        <f>K103*E102*12</f>
        <v>0</v>
      </c>
      <c r="N103" s="130"/>
      <c r="O103" s="123"/>
      <c r="R103" s="56" t="s">
        <v>148</v>
      </c>
      <c r="S103" s="131">
        <f aca="true" t="shared" si="50" ref="S103:AX103">IF(S$101=$D$92+$E$92,$M$94,0)</f>
        <v>0</v>
      </c>
      <c r="T103" s="131">
        <f t="shared" si="50"/>
        <v>0</v>
      </c>
      <c r="U103" s="131">
        <f t="shared" si="50"/>
        <v>0</v>
      </c>
      <c r="V103" s="131">
        <f t="shared" si="50"/>
        <v>0</v>
      </c>
      <c r="W103" s="131">
        <f t="shared" si="50"/>
        <v>0</v>
      </c>
      <c r="X103" s="131">
        <f t="shared" si="50"/>
        <v>0</v>
      </c>
      <c r="Y103" s="131">
        <f t="shared" si="50"/>
        <v>0</v>
      </c>
      <c r="Z103" s="131">
        <f t="shared" si="50"/>
        <v>0</v>
      </c>
      <c r="AA103" s="131">
        <f t="shared" si="50"/>
        <v>0</v>
      </c>
      <c r="AB103" s="131">
        <f t="shared" si="50"/>
        <v>0</v>
      </c>
      <c r="AC103" s="131">
        <f t="shared" si="50"/>
        <v>0</v>
      </c>
      <c r="AD103" s="131">
        <f t="shared" si="50"/>
        <v>0</v>
      </c>
      <c r="AE103" s="131">
        <f t="shared" si="50"/>
        <v>0</v>
      </c>
      <c r="AF103" s="131">
        <f t="shared" si="50"/>
        <v>0</v>
      </c>
      <c r="AG103" s="131">
        <f t="shared" si="50"/>
        <v>0</v>
      </c>
      <c r="AH103" s="131">
        <f t="shared" si="50"/>
        <v>0</v>
      </c>
      <c r="AI103" s="131">
        <f t="shared" si="50"/>
        <v>0</v>
      </c>
      <c r="AJ103" s="131">
        <f t="shared" si="50"/>
        <v>0</v>
      </c>
      <c r="AK103" s="131">
        <f t="shared" si="50"/>
        <v>0</v>
      </c>
      <c r="AL103" s="131">
        <f t="shared" si="50"/>
        <v>0</v>
      </c>
      <c r="AM103" s="131">
        <f t="shared" si="50"/>
        <v>0</v>
      </c>
      <c r="AN103" s="131">
        <f t="shared" si="50"/>
        <v>0</v>
      </c>
      <c r="AO103" s="131">
        <f t="shared" si="50"/>
        <v>0</v>
      </c>
      <c r="AP103" s="131">
        <f t="shared" si="50"/>
        <v>0</v>
      </c>
      <c r="AQ103" s="131">
        <f t="shared" si="50"/>
        <v>0</v>
      </c>
      <c r="AR103" s="131">
        <f t="shared" si="50"/>
        <v>0</v>
      </c>
      <c r="AS103" s="131">
        <f t="shared" si="50"/>
        <v>0</v>
      </c>
      <c r="AT103" s="131">
        <f t="shared" si="50"/>
        <v>0</v>
      </c>
      <c r="AU103" s="131">
        <f t="shared" si="50"/>
        <v>0</v>
      </c>
      <c r="AV103" s="131">
        <f t="shared" si="50"/>
        <v>0</v>
      </c>
      <c r="AW103" s="131">
        <f t="shared" si="50"/>
        <v>0</v>
      </c>
      <c r="AX103" s="131">
        <f t="shared" si="50"/>
        <v>0</v>
      </c>
      <c r="AY103" s="131">
        <f aca="true" t="shared" si="51" ref="AY103:CD103">IF(AY$101=$D$92+$E$92,$M$94,0)</f>
        <v>0</v>
      </c>
      <c r="AZ103" s="131">
        <f t="shared" si="51"/>
        <v>0</v>
      </c>
      <c r="BA103" s="131">
        <f t="shared" si="51"/>
        <v>0</v>
      </c>
      <c r="BB103" s="131">
        <f t="shared" si="51"/>
        <v>0</v>
      </c>
      <c r="BC103" s="131">
        <f t="shared" si="51"/>
        <v>0</v>
      </c>
      <c r="BD103" s="131">
        <f t="shared" si="51"/>
        <v>0</v>
      </c>
      <c r="BE103" s="131">
        <f t="shared" si="51"/>
        <v>0</v>
      </c>
      <c r="BF103" s="131">
        <f t="shared" si="51"/>
        <v>0</v>
      </c>
      <c r="BG103" s="131">
        <f t="shared" si="51"/>
        <v>0</v>
      </c>
      <c r="BH103" s="131">
        <f t="shared" si="51"/>
        <v>0</v>
      </c>
      <c r="BI103" s="131">
        <f t="shared" si="51"/>
        <v>0</v>
      </c>
      <c r="BJ103" s="131">
        <f t="shared" si="51"/>
        <v>0</v>
      </c>
      <c r="BK103" s="131">
        <f t="shared" si="51"/>
        <v>0</v>
      </c>
      <c r="BL103" s="131">
        <f t="shared" si="51"/>
        <v>0</v>
      </c>
      <c r="BM103" s="131">
        <f t="shared" si="51"/>
        <v>0</v>
      </c>
      <c r="BN103" s="131">
        <f t="shared" si="51"/>
        <v>0</v>
      </c>
      <c r="BO103" s="131">
        <f t="shared" si="51"/>
        <v>0</v>
      </c>
      <c r="BP103" s="131">
        <f t="shared" si="51"/>
        <v>0</v>
      </c>
      <c r="BQ103" s="131">
        <f t="shared" si="51"/>
        <v>0</v>
      </c>
      <c r="BR103" s="131">
        <f t="shared" si="51"/>
        <v>0</v>
      </c>
      <c r="BS103" s="131">
        <f t="shared" si="51"/>
        <v>0</v>
      </c>
      <c r="BT103" s="131">
        <f t="shared" si="51"/>
        <v>0</v>
      </c>
      <c r="BU103" s="131">
        <f t="shared" si="51"/>
        <v>0</v>
      </c>
      <c r="BV103" s="131">
        <f t="shared" si="51"/>
        <v>0</v>
      </c>
      <c r="BW103" s="131">
        <f t="shared" si="51"/>
        <v>0</v>
      </c>
      <c r="BX103" s="131">
        <f t="shared" si="51"/>
        <v>0</v>
      </c>
      <c r="BY103" s="131">
        <f t="shared" si="51"/>
        <v>0</v>
      </c>
      <c r="BZ103" s="131">
        <f t="shared" si="51"/>
        <v>0</v>
      </c>
      <c r="CA103" s="131">
        <f t="shared" si="51"/>
        <v>0</v>
      </c>
      <c r="CB103" s="131">
        <f t="shared" si="51"/>
        <v>0</v>
      </c>
      <c r="CC103" s="131">
        <f t="shared" si="51"/>
        <v>0</v>
      </c>
      <c r="CD103" s="131">
        <f t="shared" si="51"/>
        <v>0</v>
      </c>
      <c r="CE103" s="131">
        <f aca="true" t="shared" si="52" ref="CE103:CN103">IF(CE$101=$D$92+$E$92,$M$94,0)</f>
        <v>0</v>
      </c>
      <c r="CF103" s="131">
        <f t="shared" si="52"/>
        <v>0</v>
      </c>
      <c r="CG103" s="131">
        <f t="shared" si="52"/>
        <v>0</v>
      </c>
      <c r="CH103" s="131">
        <f t="shared" si="52"/>
        <v>0</v>
      </c>
      <c r="CI103" s="131">
        <f t="shared" si="52"/>
        <v>0</v>
      </c>
      <c r="CJ103" s="131">
        <f t="shared" si="52"/>
        <v>0</v>
      </c>
      <c r="CK103" s="131">
        <f t="shared" si="52"/>
        <v>0</v>
      </c>
      <c r="CL103" s="131">
        <f t="shared" si="52"/>
        <v>0</v>
      </c>
      <c r="CM103" s="131">
        <f t="shared" si="52"/>
        <v>0</v>
      </c>
      <c r="CN103" s="131">
        <f t="shared" si="52"/>
        <v>0</v>
      </c>
    </row>
    <row r="104" spans="2:92" ht="12.75" customHeight="1">
      <c r="B104" s="123"/>
      <c r="E104" s="78"/>
      <c r="F104" s="140" t="s">
        <v>152</v>
      </c>
      <c r="G104" s="43">
        <f>SUM(G102:G103)</f>
        <v>0</v>
      </c>
      <c r="H104" s="89"/>
      <c r="K104" s="43">
        <f>SUM(K102:K103)</f>
        <v>0</v>
      </c>
      <c r="L104" s="43">
        <f>SUM(L102:L103)</f>
        <v>0</v>
      </c>
      <c r="M104" s="43">
        <f>SUM(M102:M103)</f>
        <v>0</v>
      </c>
      <c r="O104" s="123"/>
      <c r="R104" s="56" t="s">
        <v>149</v>
      </c>
      <c r="S104" s="131">
        <f aca="true" t="shared" si="53" ref="S104:AX104">IF(S$101=$D$97+$E$97,$M$99,0)</f>
        <v>0</v>
      </c>
      <c r="T104" s="131">
        <f t="shared" si="53"/>
        <v>0</v>
      </c>
      <c r="U104" s="131">
        <f t="shared" si="53"/>
        <v>0</v>
      </c>
      <c r="V104" s="131">
        <f t="shared" si="53"/>
        <v>0</v>
      </c>
      <c r="W104" s="131">
        <f t="shared" si="53"/>
        <v>0</v>
      </c>
      <c r="X104" s="131">
        <f t="shared" si="53"/>
        <v>0</v>
      </c>
      <c r="Y104" s="131">
        <f t="shared" si="53"/>
        <v>0</v>
      </c>
      <c r="Z104" s="131">
        <f t="shared" si="53"/>
        <v>0</v>
      </c>
      <c r="AA104" s="131">
        <f t="shared" si="53"/>
        <v>0</v>
      </c>
      <c r="AB104" s="131">
        <f t="shared" si="53"/>
        <v>0</v>
      </c>
      <c r="AC104" s="131">
        <f t="shared" si="53"/>
        <v>0</v>
      </c>
      <c r="AD104" s="131">
        <f t="shared" si="53"/>
        <v>0</v>
      </c>
      <c r="AE104" s="131">
        <f t="shared" si="53"/>
        <v>0</v>
      </c>
      <c r="AF104" s="131">
        <f t="shared" si="53"/>
        <v>0</v>
      </c>
      <c r="AG104" s="131">
        <f t="shared" si="53"/>
        <v>0</v>
      </c>
      <c r="AH104" s="131">
        <f t="shared" si="53"/>
        <v>0</v>
      </c>
      <c r="AI104" s="131">
        <f t="shared" si="53"/>
        <v>0</v>
      </c>
      <c r="AJ104" s="131">
        <f t="shared" si="53"/>
        <v>0</v>
      </c>
      <c r="AK104" s="131">
        <f t="shared" si="53"/>
        <v>0</v>
      </c>
      <c r="AL104" s="131">
        <f t="shared" si="53"/>
        <v>0</v>
      </c>
      <c r="AM104" s="131">
        <f t="shared" si="53"/>
        <v>0</v>
      </c>
      <c r="AN104" s="131">
        <f t="shared" si="53"/>
        <v>0</v>
      </c>
      <c r="AO104" s="131">
        <f t="shared" si="53"/>
        <v>0</v>
      </c>
      <c r="AP104" s="131">
        <f t="shared" si="53"/>
        <v>0</v>
      </c>
      <c r="AQ104" s="131">
        <f t="shared" si="53"/>
        <v>0</v>
      </c>
      <c r="AR104" s="131">
        <f t="shared" si="53"/>
        <v>0</v>
      </c>
      <c r="AS104" s="131">
        <f t="shared" si="53"/>
        <v>0</v>
      </c>
      <c r="AT104" s="131">
        <f t="shared" si="53"/>
        <v>0</v>
      </c>
      <c r="AU104" s="131">
        <f t="shared" si="53"/>
        <v>0</v>
      </c>
      <c r="AV104" s="131">
        <f t="shared" si="53"/>
        <v>0</v>
      </c>
      <c r="AW104" s="131">
        <f t="shared" si="53"/>
        <v>0</v>
      </c>
      <c r="AX104" s="131">
        <f t="shared" si="53"/>
        <v>0</v>
      </c>
      <c r="AY104" s="131">
        <f aca="true" t="shared" si="54" ref="AY104:CD104">IF(AY$101=$D$97+$E$97,$M$99,0)</f>
        <v>0</v>
      </c>
      <c r="AZ104" s="131">
        <f t="shared" si="54"/>
        <v>0</v>
      </c>
      <c r="BA104" s="131">
        <f t="shared" si="54"/>
        <v>0</v>
      </c>
      <c r="BB104" s="131">
        <f t="shared" si="54"/>
        <v>0</v>
      </c>
      <c r="BC104" s="131">
        <f t="shared" si="54"/>
        <v>0</v>
      </c>
      <c r="BD104" s="131">
        <f t="shared" si="54"/>
        <v>0</v>
      </c>
      <c r="BE104" s="131">
        <f t="shared" si="54"/>
        <v>0</v>
      </c>
      <c r="BF104" s="131">
        <f t="shared" si="54"/>
        <v>0</v>
      </c>
      <c r="BG104" s="131">
        <f t="shared" si="54"/>
        <v>0</v>
      </c>
      <c r="BH104" s="131">
        <f t="shared" si="54"/>
        <v>0</v>
      </c>
      <c r="BI104" s="131">
        <f t="shared" si="54"/>
        <v>0</v>
      </c>
      <c r="BJ104" s="131">
        <f t="shared" si="54"/>
        <v>0</v>
      </c>
      <c r="BK104" s="131">
        <f t="shared" si="54"/>
        <v>0</v>
      </c>
      <c r="BL104" s="131">
        <f t="shared" si="54"/>
        <v>0</v>
      </c>
      <c r="BM104" s="131">
        <f t="shared" si="54"/>
        <v>0</v>
      </c>
      <c r="BN104" s="131">
        <f t="shared" si="54"/>
        <v>0</v>
      </c>
      <c r="BO104" s="131">
        <f t="shared" si="54"/>
        <v>0</v>
      </c>
      <c r="BP104" s="131">
        <f t="shared" si="54"/>
        <v>0</v>
      </c>
      <c r="BQ104" s="131">
        <f t="shared" si="54"/>
        <v>0</v>
      </c>
      <c r="BR104" s="131">
        <f t="shared" si="54"/>
        <v>0</v>
      </c>
      <c r="BS104" s="131">
        <f t="shared" si="54"/>
        <v>0</v>
      </c>
      <c r="BT104" s="131">
        <f t="shared" si="54"/>
        <v>0</v>
      </c>
      <c r="BU104" s="131">
        <f t="shared" si="54"/>
        <v>0</v>
      </c>
      <c r="BV104" s="131">
        <f t="shared" si="54"/>
        <v>0</v>
      </c>
      <c r="BW104" s="131">
        <f t="shared" si="54"/>
        <v>0</v>
      </c>
      <c r="BX104" s="131">
        <f t="shared" si="54"/>
        <v>0</v>
      </c>
      <c r="BY104" s="131">
        <f t="shared" si="54"/>
        <v>0</v>
      </c>
      <c r="BZ104" s="131">
        <f t="shared" si="54"/>
        <v>0</v>
      </c>
      <c r="CA104" s="131">
        <f t="shared" si="54"/>
        <v>0</v>
      </c>
      <c r="CB104" s="131">
        <f t="shared" si="54"/>
        <v>0</v>
      </c>
      <c r="CC104" s="131">
        <f t="shared" si="54"/>
        <v>0</v>
      </c>
      <c r="CD104" s="131">
        <f t="shared" si="54"/>
        <v>0</v>
      </c>
      <c r="CE104" s="131">
        <f aca="true" t="shared" si="55" ref="CE104:CN104">IF(CE$101=$D$97+$E$97,$M$99,0)</f>
        <v>0</v>
      </c>
      <c r="CF104" s="131">
        <f t="shared" si="55"/>
        <v>0</v>
      </c>
      <c r="CG104" s="131">
        <f t="shared" si="55"/>
        <v>0</v>
      </c>
      <c r="CH104" s="131">
        <f t="shared" si="55"/>
        <v>0</v>
      </c>
      <c r="CI104" s="131">
        <f t="shared" si="55"/>
        <v>0</v>
      </c>
      <c r="CJ104" s="131">
        <f t="shared" si="55"/>
        <v>0</v>
      </c>
      <c r="CK104" s="131">
        <f t="shared" si="55"/>
        <v>0</v>
      </c>
      <c r="CL104" s="131">
        <f t="shared" si="55"/>
        <v>0</v>
      </c>
      <c r="CM104" s="131">
        <f t="shared" si="55"/>
        <v>0</v>
      </c>
      <c r="CN104" s="131">
        <f t="shared" si="55"/>
        <v>0</v>
      </c>
    </row>
    <row r="105" spans="2:92" ht="12.75" customHeight="1">
      <c r="B105" s="123"/>
      <c r="D105" s="142"/>
      <c r="F105" s="130"/>
      <c r="G105" s="38"/>
      <c r="H105" s="141"/>
      <c r="K105" s="38"/>
      <c r="L105" s="38"/>
      <c r="M105" s="38"/>
      <c r="N105" s="130"/>
      <c r="O105" s="123"/>
      <c r="R105" s="56" t="s">
        <v>150</v>
      </c>
      <c r="S105" s="131">
        <f aca="true" t="shared" si="56" ref="S105:AX105">IF(S$101=$D$102+$E$102,$M$104,0)</f>
        <v>0</v>
      </c>
      <c r="T105" s="131">
        <f t="shared" si="56"/>
        <v>0</v>
      </c>
      <c r="U105" s="131">
        <f t="shared" si="56"/>
        <v>0</v>
      </c>
      <c r="V105" s="131">
        <f t="shared" si="56"/>
        <v>0</v>
      </c>
      <c r="W105" s="131">
        <f t="shared" si="56"/>
        <v>0</v>
      </c>
      <c r="X105" s="131">
        <f t="shared" si="56"/>
        <v>0</v>
      </c>
      <c r="Y105" s="131">
        <f t="shared" si="56"/>
        <v>0</v>
      </c>
      <c r="Z105" s="131">
        <f t="shared" si="56"/>
        <v>0</v>
      </c>
      <c r="AA105" s="131">
        <f t="shared" si="56"/>
        <v>0</v>
      </c>
      <c r="AB105" s="131">
        <f t="shared" si="56"/>
        <v>0</v>
      </c>
      <c r="AC105" s="131">
        <f t="shared" si="56"/>
        <v>0</v>
      </c>
      <c r="AD105" s="131">
        <f t="shared" si="56"/>
        <v>0</v>
      </c>
      <c r="AE105" s="131">
        <f t="shared" si="56"/>
        <v>0</v>
      </c>
      <c r="AF105" s="131">
        <f t="shared" si="56"/>
        <v>0</v>
      </c>
      <c r="AG105" s="131">
        <f t="shared" si="56"/>
        <v>0</v>
      </c>
      <c r="AH105" s="131">
        <f t="shared" si="56"/>
        <v>0</v>
      </c>
      <c r="AI105" s="131">
        <f t="shared" si="56"/>
        <v>0</v>
      </c>
      <c r="AJ105" s="131">
        <f t="shared" si="56"/>
        <v>0</v>
      </c>
      <c r="AK105" s="131">
        <f t="shared" si="56"/>
        <v>0</v>
      </c>
      <c r="AL105" s="131">
        <f t="shared" si="56"/>
        <v>0</v>
      </c>
      <c r="AM105" s="131">
        <f t="shared" si="56"/>
        <v>0</v>
      </c>
      <c r="AN105" s="131">
        <f t="shared" si="56"/>
        <v>0</v>
      </c>
      <c r="AO105" s="131">
        <f t="shared" si="56"/>
        <v>0</v>
      </c>
      <c r="AP105" s="131">
        <f t="shared" si="56"/>
        <v>0</v>
      </c>
      <c r="AQ105" s="131">
        <f t="shared" si="56"/>
        <v>0</v>
      </c>
      <c r="AR105" s="131">
        <f t="shared" si="56"/>
        <v>0</v>
      </c>
      <c r="AS105" s="131">
        <f t="shared" si="56"/>
        <v>0</v>
      </c>
      <c r="AT105" s="131">
        <f t="shared" si="56"/>
        <v>0</v>
      </c>
      <c r="AU105" s="131">
        <f t="shared" si="56"/>
        <v>0</v>
      </c>
      <c r="AV105" s="131">
        <f t="shared" si="56"/>
        <v>0</v>
      </c>
      <c r="AW105" s="131">
        <f t="shared" si="56"/>
        <v>0</v>
      </c>
      <c r="AX105" s="131">
        <f t="shared" si="56"/>
        <v>0</v>
      </c>
      <c r="AY105" s="131">
        <f aca="true" t="shared" si="57" ref="AY105:CD105">IF(AY$101=$D$102+$E$102,$M$104,0)</f>
        <v>0</v>
      </c>
      <c r="AZ105" s="131">
        <f t="shared" si="57"/>
        <v>0</v>
      </c>
      <c r="BA105" s="131">
        <f t="shared" si="57"/>
        <v>0</v>
      </c>
      <c r="BB105" s="131">
        <f t="shared" si="57"/>
        <v>0</v>
      </c>
      <c r="BC105" s="131">
        <f t="shared" si="57"/>
        <v>0</v>
      </c>
      <c r="BD105" s="131">
        <f t="shared" si="57"/>
        <v>0</v>
      </c>
      <c r="BE105" s="131">
        <f t="shared" si="57"/>
        <v>0</v>
      </c>
      <c r="BF105" s="131">
        <f t="shared" si="57"/>
        <v>0</v>
      </c>
      <c r="BG105" s="131">
        <f t="shared" si="57"/>
        <v>0</v>
      </c>
      <c r="BH105" s="131">
        <f t="shared" si="57"/>
        <v>0</v>
      </c>
      <c r="BI105" s="131">
        <f t="shared" si="57"/>
        <v>0</v>
      </c>
      <c r="BJ105" s="131">
        <f t="shared" si="57"/>
        <v>0</v>
      </c>
      <c r="BK105" s="131">
        <f t="shared" si="57"/>
        <v>0</v>
      </c>
      <c r="BL105" s="131">
        <f t="shared" si="57"/>
        <v>0</v>
      </c>
      <c r="BM105" s="131">
        <f t="shared" si="57"/>
        <v>0</v>
      </c>
      <c r="BN105" s="131">
        <f t="shared" si="57"/>
        <v>0</v>
      </c>
      <c r="BO105" s="131">
        <f t="shared" si="57"/>
        <v>0</v>
      </c>
      <c r="BP105" s="131">
        <f t="shared" si="57"/>
        <v>0</v>
      </c>
      <c r="BQ105" s="131">
        <f t="shared" si="57"/>
        <v>0</v>
      </c>
      <c r="BR105" s="131">
        <f t="shared" si="57"/>
        <v>0</v>
      </c>
      <c r="BS105" s="131">
        <f t="shared" si="57"/>
        <v>0</v>
      </c>
      <c r="BT105" s="131">
        <f t="shared" si="57"/>
        <v>0</v>
      </c>
      <c r="BU105" s="131">
        <f t="shared" si="57"/>
        <v>0</v>
      </c>
      <c r="BV105" s="131">
        <f t="shared" si="57"/>
        <v>0</v>
      </c>
      <c r="BW105" s="131">
        <f t="shared" si="57"/>
        <v>0</v>
      </c>
      <c r="BX105" s="131">
        <f t="shared" si="57"/>
        <v>0</v>
      </c>
      <c r="BY105" s="131">
        <f t="shared" si="57"/>
        <v>0</v>
      </c>
      <c r="BZ105" s="131">
        <f t="shared" si="57"/>
        <v>0</v>
      </c>
      <c r="CA105" s="131">
        <f t="shared" si="57"/>
        <v>0</v>
      </c>
      <c r="CB105" s="131">
        <f t="shared" si="57"/>
        <v>0</v>
      </c>
      <c r="CC105" s="131">
        <f t="shared" si="57"/>
        <v>0</v>
      </c>
      <c r="CD105" s="131">
        <f t="shared" si="57"/>
        <v>0</v>
      </c>
      <c r="CE105" s="131">
        <f aca="true" t="shared" si="58" ref="CE105:CN105">IF(CE$101=$D$102+$E$102,$M$104,0)</f>
        <v>0</v>
      </c>
      <c r="CF105" s="131">
        <f t="shared" si="58"/>
        <v>0</v>
      </c>
      <c r="CG105" s="131">
        <f t="shared" si="58"/>
        <v>0</v>
      </c>
      <c r="CH105" s="131">
        <f t="shared" si="58"/>
        <v>0</v>
      </c>
      <c r="CI105" s="131">
        <f t="shared" si="58"/>
        <v>0</v>
      </c>
      <c r="CJ105" s="131">
        <f t="shared" si="58"/>
        <v>0</v>
      </c>
      <c r="CK105" s="131">
        <f t="shared" si="58"/>
        <v>0</v>
      </c>
      <c r="CL105" s="131">
        <f t="shared" si="58"/>
        <v>0</v>
      </c>
      <c r="CM105" s="131">
        <f t="shared" si="58"/>
        <v>0</v>
      </c>
      <c r="CN105" s="131">
        <f t="shared" si="58"/>
        <v>0</v>
      </c>
    </row>
    <row r="106" spans="2:92" ht="15" customHeight="1">
      <c r="B106" s="123"/>
      <c r="D106" s="138">
        <v>20</v>
      </c>
      <c r="E106" s="81">
        <v>10</v>
      </c>
      <c r="F106" s="87"/>
      <c r="G106" s="41"/>
      <c r="H106" s="112">
        <v>0.02</v>
      </c>
      <c r="K106" s="38">
        <f>(G106*((1+H106)^E106))/(E106*12)</f>
        <v>0</v>
      </c>
      <c r="L106" s="38">
        <f>K106*12</f>
        <v>0</v>
      </c>
      <c r="M106" s="38">
        <f>K106*E106*12</f>
        <v>0</v>
      </c>
      <c r="N106" s="130"/>
      <c r="O106" s="123"/>
      <c r="R106" s="56" t="s">
        <v>151</v>
      </c>
      <c r="S106" s="131">
        <f aca="true" t="shared" si="59" ref="S106:AX106">IF(S$101=$D$106+$E$106,$M$108,0)</f>
        <v>0</v>
      </c>
      <c r="T106" s="131">
        <f t="shared" si="59"/>
        <v>0</v>
      </c>
      <c r="U106" s="131">
        <f t="shared" si="59"/>
        <v>0</v>
      </c>
      <c r="V106" s="131">
        <f t="shared" si="59"/>
        <v>0</v>
      </c>
      <c r="W106" s="131">
        <f t="shared" si="59"/>
        <v>0</v>
      </c>
      <c r="X106" s="131">
        <f t="shared" si="59"/>
        <v>0</v>
      </c>
      <c r="Y106" s="131">
        <f t="shared" si="59"/>
        <v>0</v>
      </c>
      <c r="Z106" s="131">
        <f t="shared" si="59"/>
        <v>0</v>
      </c>
      <c r="AA106" s="131">
        <f t="shared" si="59"/>
        <v>0</v>
      </c>
      <c r="AB106" s="131">
        <f t="shared" si="59"/>
        <v>0</v>
      </c>
      <c r="AC106" s="131">
        <f t="shared" si="59"/>
        <v>0</v>
      </c>
      <c r="AD106" s="131">
        <f t="shared" si="59"/>
        <v>0</v>
      </c>
      <c r="AE106" s="131">
        <f t="shared" si="59"/>
        <v>0</v>
      </c>
      <c r="AF106" s="131">
        <f t="shared" si="59"/>
        <v>0</v>
      </c>
      <c r="AG106" s="131">
        <f t="shared" si="59"/>
        <v>0</v>
      </c>
      <c r="AH106" s="131">
        <f t="shared" si="59"/>
        <v>0</v>
      </c>
      <c r="AI106" s="131">
        <f t="shared" si="59"/>
        <v>0</v>
      </c>
      <c r="AJ106" s="131">
        <f t="shared" si="59"/>
        <v>0</v>
      </c>
      <c r="AK106" s="131">
        <f t="shared" si="59"/>
        <v>0</v>
      </c>
      <c r="AL106" s="131">
        <f t="shared" si="59"/>
        <v>0</v>
      </c>
      <c r="AM106" s="131">
        <f t="shared" si="59"/>
        <v>0</v>
      </c>
      <c r="AN106" s="131">
        <f t="shared" si="59"/>
        <v>0</v>
      </c>
      <c r="AO106" s="131">
        <f t="shared" si="59"/>
        <v>0</v>
      </c>
      <c r="AP106" s="131">
        <f t="shared" si="59"/>
        <v>0</v>
      </c>
      <c r="AQ106" s="131">
        <f t="shared" si="59"/>
        <v>0</v>
      </c>
      <c r="AR106" s="131">
        <f t="shared" si="59"/>
        <v>0</v>
      </c>
      <c r="AS106" s="131">
        <f t="shared" si="59"/>
        <v>0</v>
      </c>
      <c r="AT106" s="131">
        <f t="shared" si="59"/>
        <v>0</v>
      </c>
      <c r="AU106" s="131">
        <f t="shared" si="59"/>
        <v>0</v>
      </c>
      <c r="AV106" s="131">
        <f t="shared" si="59"/>
        <v>0</v>
      </c>
      <c r="AW106" s="131">
        <f t="shared" si="59"/>
        <v>0</v>
      </c>
      <c r="AX106" s="131">
        <f t="shared" si="59"/>
        <v>0</v>
      </c>
      <c r="AY106" s="131">
        <f aca="true" t="shared" si="60" ref="AY106:CD106">IF(AY$101=$D$106+$E$106,$M$108,0)</f>
        <v>0</v>
      </c>
      <c r="AZ106" s="131">
        <f t="shared" si="60"/>
        <v>0</v>
      </c>
      <c r="BA106" s="131">
        <f t="shared" si="60"/>
        <v>0</v>
      </c>
      <c r="BB106" s="131">
        <f t="shared" si="60"/>
        <v>0</v>
      </c>
      <c r="BC106" s="131">
        <f t="shared" si="60"/>
        <v>0</v>
      </c>
      <c r="BD106" s="131">
        <f t="shared" si="60"/>
        <v>0</v>
      </c>
      <c r="BE106" s="131">
        <f t="shared" si="60"/>
        <v>0</v>
      </c>
      <c r="BF106" s="131">
        <f t="shared" si="60"/>
        <v>0</v>
      </c>
      <c r="BG106" s="131">
        <f t="shared" si="60"/>
        <v>0</v>
      </c>
      <c r="BH106" s="131">
        <f t="shared" si="60"/>
        <v>0</v>
      </c>
      <c r="BI106" s="131">
        <f t="shared" si="60"/>
        <v>0</v>
      </c>
      <c r="BJ106" s="131">
        <f t="shared" si="60"/>
        <v>0</v>
      </c>
      <c r="BK106" s="131">
        <f t="shared" si="60"/>
        <v>0</v>
      </c>
      <c r="BL106" s="131">
        <f t="shared" si="60"/>
        <v>0</v>
      </c>
      <c r="BM106" s="131">
        <f t="shared" si="60"/>
        <v>0</v>
      </c>
      <c r="BN106" s="131">
        <f t="shared" si="60"/>
        <v>0</v>
      </c>
      <c r="BO106" s="131">
        <f t="shared" si="60"/>
        <v>0</v>
      </c>
      <c r="BP106" s="131">
        <f t="shared" si="60"/>
        <v>0</v>
      </c>
      <c r="BQ106" s="131">
        <f t="shared" si="60"/>
        <v>0</v>
      </c>
      <c r="BR106" s="131">
        <f t="shared" si="60"/>
        <v>0</v>
      </c>
      <c r="BS106" s="131">
        <f t="shared" si="60"/>
        <v>0</v>
      </c>
      <c r="BT106" s="131">
        <f t="shared" si="60"/>
        <v>0</v>
      </c>
      <c r="BU106" s="131">
        <f t="shared" si="60"/>
        <v>0</v>
      </c>
      <c r="BV106" s="131">
        <f t="shared" si="60"/>
        <v>0</v>
      </c>
      <c r="BW106" s="131">
        <f t="shared" si="60"/>
        <v>0</v>
      </c>
      <c r="BX106" s="131">
        <f t="shared" si="60"/>
        <v>0</v>
      </c>
      <c r="BY106" s="131">
        <f t="shared" si="60"/>
        <v>0</v>
      </c>
      <c r="BZ106" s="131">
        <f t="shared" si="60"/>
        <v>0</v>
      </c>
      <c r="CA106" s="131">
        <f t="shared" si="60"/>
        <v>0</v>
      </c>
      <c r="CB106" s="131">
        <f t="shared" si="60"/>
        <v>0</v>
      </c>
      <c r="CC106" s="131">
        <f t="shared" si="60"/>
        <v>0</v>
      </c>
      <c r="CD106" s="131">
        <f t="shared" si="60"/>
        <v>0</v>
      </c>
      <c r="CE106" s="131">
        <f aca="true" t="shared" si="61" ref="CE106:CN106">IF(CE$101=$D$106+$E$106,$M$108,0)</f>
        <v>0</v>
      </c>
      <c r="CF106" s="131">
        <f t="shared" si="61"/>
        <v>0</v>
      </c>
      <c r="CG106" s="131">
        <f t="shared" si="61"/>
        <v>0</v>
      </c>
      <c r="CH106" s="131">
        <f t="shared" si="61"/>
        <v>0</v>
      </c>
      <c r="CI106" s="131">
        <f t="shared" si="61"/>
        <v>0</v>
      </c>
      <c r="CJ106" s="131">
        <f t="shared" si="61"/>
        <v>0</v>
      </c>
      <c r="CK106" s="131">
        <f t="shared" si="61"/>
        <v>0</v>
      </c>
      <c r="CL106" s="131">
        <f t="shared" si="61"/>
        <v>0</v>
      </c>
      <c r="CM106" s="131">
        <f t="shared" si="61"/>
        <v>0</v>
      </c>
      <c r="CN106" s="131">
        <f t="shared" si="61"/>
        <v>0</v>
      </c>
    </row>
    <row r="107" spans="2:92" ht="15" customHeight="1">
      <c r="B107" s="123"/>
      <c r="D107" s="57" t="str">
        <f>"(Pay back in yr "&amp;D106+E106&amp;" )"</f>
        <v>(Pay back in yr 30 )</v>
      </c>
      <c r="E107" s="78"/>
      <c r="F107" s="87"/>
      <c r="G107" s="41"/>
      <c r="H107" s="112">
        <v>0.04</v>
      </c>
      <c r="K107" s="38">
        <f>(G107*((1+H107)^E106))/(E106*12)</f>
        <v>0</v>
      </c>
      <c r="L107" s="38">
        <f>K107*12</f>
        <v>0</v>
      </c>
      <c r="M107" s="38">
        <f>K107*E106*12</f>
        <v>0</v>
      </c>
      <c r="N107" s="130"/>
      <c r="O107" s="123"/>
      <c r="R107" s="56" t="s">
        <v>153</v>
      </c>
      <c r="S107" s="131">
        <f aca="true" t="shared" si="62" ref="S107:AX107">IF(S$101=$D$110+$E$110,$M$112,0)</f>
        <v>0</v>
      </c>
      <c r="T107" s="131">
        <f t="shared" si="62"/>
        <v>0</v>
      </c>
      <c r="U107" s="131">
        <f t="shared" si="62"/>
        <v>0</v>
      </c>
      <c r="V107" s="131">
        <f t="shared" si="62"/>
        <v>0</v>
      </c>
      <c r="W107" s="131">
        <f t="shared" si="62"/>
        <v>0</v>
      </c>
      <c r="X107" s="131">
        <f t="shared" si="62"/>
        <v>0</v>
      </c>
      <c r="Y107" s="131">
        <f t="shared" si="62"/>
        <v>0</v>
      </c>
      <c r="Z107" s="131">
        <f t="shared" si="62"/>
        <v>0</v>
      </c>
      <c r="AA107" s="131">
        <f t="shared" si="62"/>
        <v>0</v>
      </c>
      <c r="AB107" s="131">
        <f t="shared" si="62"/>
        <v>0</v>
      </c>
      <c r="AC107" s="131">
        <f t="shared" si="62"/>
        <v>0</v>
      </c>
      <c r="AD107" s="131">
        <f t="shared" si="62"/>
        <v>0</v>
      </c>
      <c r="AE107" s="131">
        <f t="shared" si="62"/>
        <v>0</v>
      </c>
      <c r="AF107" s="131">
        <f t="shared" si="62"/>
        <v>0</v>
      </c>
      <c r="AG107" s="131">
        <f t="shared" si="62"/>
        <v>0</v>
      </c>
      <c r="AH107" s="131">
        <f t="shared" si="62"/>
        <v>0</v>
      </c>
      <c r="AI107" s="131">
        <f t="shared" si="62"/>
        <v>0</v>
      </c>
      <c r="AJ107" s="131">
        <f t="shared" si="62"/>
        <v>0</v>
      </c>
      <c r="AK107" s="131">
        <f t="shared" si="62"/>
        <v>0</v>
      </c>
      <c r="AL107" s="131">
        <f t="shared" si="62"/>
        <v>0</v>
      </c>
      <c r="AM107" s="131">
        <f t="shared" si="62"/>
        <v>0</v>
      </c>
      <c r="AN107" s="131">
        <f t="shared" si="62"/>
        <v>0</v>
      </c>
      <c r="AO107" s="131">
        <f t="shared" si="62"/>
        <v>0</v>
      </c>
      <c r="AP107" s="131">
        <f t="shared" si="62"/>
        <v>0</v>
      </c>
      <c r="AQ107" s="131">
        <f t="shared" si="62"/>
        <v>0</v>
      </c>
      <c r="AR107" s="131">
        <f t="shared" si="62"/>
        <v>0</v>
      </c>
      <c r="AS107" s="131">
        <f t="shared" si="62"/>
        <v>0</v>
      </c>
      <c r="AT107" s="131">
        <f t="shared" si="62"/>
        <v>0</v>
      </c>
      <c r="AU107" s="131">
        <f t="shared" si="62"/>
        <v>0</v>
      </c>
      <c r="AV107" s="131">
        <f t="shared" si="62"/>
        <v>0</v>
      </c>
      <c r="AW107" s="131">
        <f t="shared" si="62"/>
        <v>0</v>
      </c>
      <c r="AX107" s="131">
        <f t="shared" si="62"/>
        <v>0</v>
      </c>
      <c r="AY107" s="131">
        <f aca="true" t="shared" si="63" ref="AY107:CD107">IF(AY$101=$D$110+$E$110,$M$112,0)</f>
        <v>0</v>
      </c>
      <c r="AZ107" s="131">
        <f t="shared" si="63"/>
        <v>0</v>
      </c>
      <c r="BA107" s="131">
        <f t="shared" si="63"/>
        <v>0</v>
      </c>
      <c r="BB107" s="131">
        <f t="shared" si="63"/>
        <v>0</v>
      </c>
      <c r="BC107" s="131">
        <f t="shared" si="63"/>
        <v>0</v>
      </c>
      <c r="BD107" s="131">
        <f t="shared" si="63"/>
        <v>0</v>
      </c>
      <c r="BE107" s="131">
        <f t="shared" si="63"/>
        <v>0</v>
      </c>
      <c r="BF107" s="131">
        <f t="shared" si="63"/>
        <v>0</v>
      </c>
      <c r="BG107" s="131">
        <f t="shared" si="63"/>
        <v>0</v>
      </c>
      <c r="BH107" s="131">
        <f t="shared" si="63"/>
        <v>0</v>
      </c>
      <c r="BI107" s="131">
        <f t="shared" si="63"/>
        <v>0</v>
      </c>
      <c r="BJ107" s="131">
        <f t="shared" si="63"/>
        <v>0</v>
      </c>
      <c r="BK107" s="131">
        <f t="shared" si="63"/>
        <v>0</v>
      </c>
      <c r="BL107" s="131">
        <f t="shared" si="63"/>
        <v>0</v>
      </c>
      <c r="BM107" s="131">
        <f t="shared" si="63"/>
        <v>0</v>
      </c>
      <c r="BN107" s="131">
        <f t="shared" si="63"/>
        <v>0</v>
      </c>
      <c r="BO107" s="131">
        <f t="shared" si="63"/>
        <v>0</v>
      </c>
      <c r="BP107" s="131">
        <f t="shared" si="63"/>
        <v>0</v>
      </c>
      <c r="BQ107" s="131">
        <f t="shared" si="63"/>
        <v>0</v>
      </c>
      <c r="BR107" s="131">
        <f t="shared" si="63"/>
        <v>0</v>
      </c>
      <c r="BS107" s="131">
        <f t="shared" si="63"/>
        <v>0</v>
      </c>
      <c r="BT107" s="131">
        <f t="shared" si="63"/>
        <v>0</v>
      </c>
      <c r="BU107" s="131">
        <f t="shared" si="63"/>
        <v>0</v>
      </c>
      <c r="BV107" s="131">
        <f t="shared" si="63"/>
        <v>0</v>
      </c>
      <c r="BW107" s="131">
        <f t="shared" si="63"/>
        <v>0</v>
      </c>
      <c r="BX107" s="131">
        <f t="shared" si="63"/>
        <v>0</v>
      </c>
      <c r="BY107" s="131">
        <f t="shared" si="63"/>
        <v>0</v>
      </c>
      <c r="BZ107" s="131">
        <f t="shared" si="63"/>
        <v>0</v>
      </c>
      <c r="CA107" s="131">
        <f t="shared" si="63"/>
        <v>0</v>
      </c>
      <c r="CB107" s="131">
        <f t="shared" si="63"/>
        <v>0</v>
      </c>
      <c r="CC107" s="131">
        <f t="shared" si="63"/>
        <v>0</v>
      </c>
      <c r="CD107" s="131">
        <f t="shared" si="63"/>
        <v>0</v>
      </c>
      <c r="CE107" s="131">
        <f aca="true" t="shared" si="64" ref="CE107:CN107">IF(CE$101=$D$110+$E$110,$M$112,0)</f>
        <v>0</v>
      </c>
      <c r="CF107" s="131">
        <f t="shared" si="64"/>
        <v>0</v>
      </c>
      <c r="CG107" s="131">
        <f t="shared" si="64"/>
        <v>0</v>
      </c>
      <c r="CH107" s="131">
        <f t="shared" si="64"/>
        <v>0</v>
      </c>
      <c r="CI107" s="131">
        <f t="shared" si="64"/>
        <v>0</v>
      </c>
      <c r="CJ107" s="131">
        <f t="shared" si="64"/>
        <v>0</v>
      </c>
      <c r="CK107" s="131">
        <f t="shared" si="64"/>
        <v>0</v>
      </c>
      <c r="CL107" s="131">
        <f t="shared" si="64"/>
        <v>0</v>
      </c>
      <c r="CM107" s="131">
        <f t="shared" si="64"/>
        <v>0</v>
      </c>
      <c r="CN107" s="131">
        <f t="shared" si="64"/>
        <v>0</v>
      </c>
    </row>
    <row r="108" spans="2:92" ht="12.75" customHeight="1">
      <c r="B108" s="123"/>
      <c r="E108" s="78"/>
      <c r="F108" s="140" t="s">
        <v>152</v>
      </c>
      <c r="G108" s="43">
        <f>SUM(G106:G107)</f>
        <v>0</v>
      </c>
      <c r="H108" s="89"/>
      <c r="K108" s="43">
        <f>SUM(K106:K107)</f>
        <v>0</v>
      </c>
      <c r="L108" s="43">
        <f>SUM(L106:L107)</f>
        <v>0</v>
      </c>
      <c r="M108" s="43">
        <f>SUM(M106:M107)</f>
        <v>0</v>
      </c>
      <c r="O108" s="123"/>
      <c r="R108" s="56" t="s">
        <v>154</v>
      </c>
      <c r="S108" s="131">
        <f aca="true" t="shared" si="65" ref="S108:AX108">IF(S$101=$D$114+$E$114,$M$116,0)</f>
        <v>0</v>
      </c>
      <c r="T108" s="131">
        <f t="shared" si="65"/>
        <v>0</v>
      </c>
      <c r="U108" s="131">
        <f t="shared" si="65"/>
        <v>0</v>
      </c>
      <c r="V108" s="131">
        <f t="shared" si="65"/>
        <v>0</v>
      </c>
      <c r="W108" s="131">
        <f t="shared" si="65"/>
        <v>0</v>
      </c>
      <c r="X108" s="131">
        <f t="shared" si="65"/>
        <v>0</v>
      </c>
      <c r="Y108" s="131">
        <f t="shared" si="65"/>
        <v>0</v>
      </c>
      <c r="Z108" s="131">
        <f t="shared" si="65"/>
        <v>0</v>
      </c>
      <c r="AA108" s="131">
        <f t="shared" si="65"/>
        <v>0</v>
      </c>
      <c r="AB108" s="131">
        <f t="shared" si="65"/>
        <v>0</v>
      </c>
      <c r="AC108" s="131">
        <f t="shared" si="65"/>
        <v>0</v>
      </c>
      <c r="AD108" s="131">
        <f t="shared" si="65"/>
        <v>0</v>
      </c>
      <c r="AE108" s="131">
        <f t="shared" si="65"/>
        <v>0</v>
      </c>
      <c r="AF108" s="131">
        <f t="shared" si="65"/>
        <v>0</v>
      </c>
      <c r="AG108" s="131">
        <f t="shared" si="65"/>
        <v>0</v>
      </c>
      <c r="AH108" s="131">
        <f t="shared" si="65"/>
        <v>0</v>
      </c>
      <c r="AI108" s="131">
        <f t="shared" si="65"/>
        <v>0</v>
      </c>
      <c r="AJ108" s="131">
        <f t="shared" si="65"/>
        <v>0</v>
      </c>
      <c r="AK108" s="131">
        <f t="shared" si="65"/>
        <v>0</v>
      </c>
      <c r="AL108" s="131">
        <f t="shared" si="65"/>
        <v>0</v>
      </c>
      <c r="AM108" s="131">
        <f t="shared" si="65"/>
        <v>0</v>
      </c>
      <c r="AN108" s="131">
        <f t="shared" si="65"/>
        <v>0</v>
      </c>
      <c r="AO108" s="131">
        <f t="shared" si="65"/>
        <v>0</v>
      </c>
      <c r="AP108" s="131">
        <f t="shared" si="65"/>
        <v>0</v>
      </c>
      <c r="AQ108" s="131">
        <f t="shared" si="65"/>
        <v>0</v>
      </c>
      <c r="AR108" s="131">
        <f t="shared" si="65"/>
        <v>0</v>
      </c>
      <c r="AS108" s="131">
        <f t="shared" si="65"/>
        <v>0</v>
      </c>
      <c r="AT108" s="131">
        <f t="shared" si="65"/>
        <v>0</v>
      </c>
      <c r="AU108" s="131">
        <f t="shared" si="65"/>
        <v>0</v>
      </c>
      <c r="AV108" s="131">
        <f t="shared" si="65"/>
        <v>0</v>
      </c>
      <c r="AW108" s="131">
        <f t="shared" si="65"/>
        <v>0</v>
      </c>
      <c r="AX108" s="131">
        <f t="shared" si="65"/>
        <v>0</v>
      </c>
      <c r="AY108" s="131">
        <f aca="true" t="shared" si="66" ref="AY108:CD108">IF(AY$101=$D$114+$E$114,$M$116,0)</f>
        <v>0</v>
      </c>
      <c r="AZ108" s="131">
        <f t="shared" si="66"/>
        <v>0</v>
      </c>
      <c r="BA108" s="131">
        <f t="shared" si="66"/>
        <v>0</v>
      </c>
      <c r="BB108" s="131">
        <f t="shared" si="66"/>
        <v>0</v>
      </c>
      <c r="BC108" s="131">
        <f t="shared" si="66"/>
        <v>0</v>
      </c>
      <c r="BD108" s="131">
        <f t="shared" si="66"/>
        <v>0</v>
      </c>
      <c r="BE108" s="131">
        <f t="shared" si="66"/>
        <v>0</v>
      </c>
      <c r="BF108" s="131">
        <f t="shared" si="66"/>
        <v>0</v>
      </c>
      <c r="BG108" s="131">
        <f t="shared" si="66"/>
        <v>0</v>
      </c>
      <c r="BH108" s="131">
        <f t="shared" si="66"/>
        <v>0</v>
      </c>
      <c r="BI108" s="131">
        <f t="shared" si="66"/>
        <v>0</v>
      </c>
      <c r="BJ108" s="131">
        <f t="shared" si="66"/>
        <v>0</v>
      </c>
      <c r="BK108" s="131">
        <f t="shared" si="66"/>
        <v>0</v>
      </c>
      <c r="BL108" s="131">
        <f t="shared" si="66"/>
        <v>0</v>
      </c>
      <c r="BM108" s="131">
        <f t="shared" si="66"/>
        <v>0</v>
      </c>
      <c r="BN108" s="131">
        <f t="shared" si="66"/>
        <v>0</v>
      </c>
      <c r="BO108" s="131">
        <f t="shared" si="66"/>
        <v>0</v>
      </c>
      <c r="BP108" s="131">
        <f t="shared" si="66"/>
        <v>0</v>
      </c>
      <c r="BQ108" s="131">
        <f t="shared" si="66"/>
        <v>0</v>
      </c>
      <c r="BR108" s="131">
        <f t="shared" si="66"/>
        <v>0</v>
      </c>
      <c r="BS108" s="131">
        <f t="shared" si="66"/>
        <v>0</v>
      </c>
      <c r="BT108" s="131">
        <f t="shared" si="66"/>
        <v>0</v>
      </c>
      <c r="BU108" s="131">
        <f t="shared" si="66"/>
        <v>0</v>
      </c>
      <c r="BV108" s="131">
        <f t="shared" si="66"/>
        <v>0</v>
      </c>
      <c r="BW108" s="131">
        <f t="shared" si="66"/>
        <v>0</v>
      </c>
      <c r="BX108" s="131">
        <f t="shared" si="66"/>
        <v>0</v>
      </c>
      <c r="BY108" s="131">
        <f t="shared" si="66"/>
        <v>0</v>
      </c>
      <c r="BZ108" s="131">
        <f t="shared" si="66"/>
        <v>0</v>
      </c>
      <c r="CA108" s="131">
        <f t="shared" si="66"/>
        <v>0</v>
      </c>
      <c r="CB108" s="131">
        <f t="shared" si="66"/>
        <v>0</v>
      </c>
      <c r="CC108" s="131">
        <f t="shared" si="66"/>
        <v>0</v>
      </c>
      <c r="CD108" s="131">
        <f t="shared" si="66"/>
        <v>0</v>
      </c>
      <c r="CE108" s="131">
        <f aca="true" t="shared" si="67" ref="CE108:CN108">IF(CE$101=$D$114+$E$114,$M$116,0)</f>
        <v>0</v>
      </c>
      <c r="CF108" s="131">
        <f t="shared" si="67"/>
        <v>0</v>
      </c>
      <c r="CG108" s="131">
        <f t="shared" si="67"/>
        <v>0</v>
      </c>
      <c r="CH108" s="131">
        <f t="shared" si="67"/>
        <v>0</v>
      </c>
      <c r="CI108" s="131">
        <f t="shared" si="67"/>
        <v>0</v>
      </c>
      <c r="CJ108" s="131">
        <f t="shared" si="67"/>
        <v>0</v>
      </c>
      <c r="CK108" s="131">
        <f t="shared" si="67"/>
        <v>0</v>
      </c>
      <c r="CL108" s="131">
        <f t="shared" si="67"/>
        <v>0</v>
      </c>
      <c r="CM108" s="131">
        <f t="shared" si="67"/>
        <v>0</v>
      </c>
      <c r="CN108" s="131">
        <f t="shared" si="67"/>
        <v>0</v>
      </c>
    </row>
    <row r="109" spans="2:92" ht="12.75" customHeight="1">
      <c r="B109" s="123"/>
      <c r="E109" s="78"/>
      <c r="F109" s="143"/>
      <c r="G109" s="38"/>
      <c r="H109" s="116"/>
      <c r="K109" s="38"/>
      <c r="O109" s="123"/>
      <c r="R109" s="56" t="s">
        <v>155</v>
      </c>
      <c r="S109" s="131">
        <f aca="true" t="shared" si="68" ref="S109:AX109">IF(S$101=$D$118+$E$118,$M$120,0)</f>
        <v>0</v>
      </c>
      <c r="T109" s="131">
        <f t="shared" si="68"/>
        <v>0</v>
      </c>
      <c r="U109" s="131">
        <f t="shared" si="68"/>
        <v>0</v>
      </c>
      <c r="V109" s="131">
        <f t="shared" si="68"/>
        <v>0</v>
      </c>
      <c r="W109" s="131">
        <f t="shared" si="68"/>
        <v>0</v>
      </c>
      <c r="X109" s="131">
        <f t="shared" si="68"/>
        <v>0</v>
      </c>
      <c r="Y109" s="131">
        <f t="shared" si="68"/>
        <v>0</v>
      </c>
      <c r="Z109" s="131">
        <f t="shared" si="68"/>
        <v>0</v>
      </c>
      <c r="AA109" s="131">
        <f t="shared" si="68"/>
        <v>0</v>
      </c>
      <c r="AB109" s="131">
        <f t="shared" si="68"/>
        <v>0</v>
      </c>
      <c r="AC109" s="131">
        <f t="shared" si="68"/>
        <v>0</v>
      </c>
      <c r="AD109" s="131">
        <f t="shared" si="68"/>
        <v>0</v>
      </c>
      <c r="AE109" s="131">
        <f t="shared" si="68"/>
        <v>0</v>
      </c>
      <c r="AF109" s="131">
        <f t="shared" si="68"/>
        <v>0</v>
      </c>
      <c r="AG109" s="131">
        <f t="shared" si="68"/>
        <v>0</v>
      </c>
      <c r="AH109" s="131">
        <f t="shared" si="68"/>
        <v>0</v>
      </c>
      <c r="AI109" s="131">
        <f t="shared" si="68"/>
        <v>0</v>
      </c>
      <c r="AJ109" s="131">
        <f t="shared" si="68"/>
        <v>0</v>
      </c>
      <c r="AK109" s="131">
        <f t="shared" si="68"/>
        <v>0</v>
      </c>
      <c r="AL109" s="131">
        <f t="shared" si="68"/>
        <v>0</v>
      </c>
      <c r="AM109" s="131">
        <f t="shared" si="68"/>
        <v>0</v>
      </c>
      <c r="AN109" s="131">
        <f t="shared" si="68"/>
        <v>0</v>
      </c>
      <c r="AO109" s="131">
        <f t="shared" si="68"/>
        <v>0</v>
      </c>
      <c r="AP109" s="131">
        <f t="shared" si="68"/>
        <v>0</v>
      </c>
      <c r="AQ109" s="131">
        <f t="shared" si="68"/>
        <v>0</v>
      </c>
      <c r="AR109" s="131">
        <f t="shared" si="68"/>
        <v>0</v>
      </c>
      <c r="AS109" s="131">
        <f t="shared" si="68"/>
        <v>0</v>
      </c>
      <c r="AT109" s="131">
        <f t="shared" si="68"/>
        <v>0</v>
      </c>
      <c r="AU109" s="131">
        <f t="shared" si="68"/>
        <v>0</v>
      </c>
      <c r="AV109" s="131">
        <f t="shared" si="68"/>
        <v>0</v>
      </c>
      <c r="AW109" s="131">
        <f t="shared" si="68"/>
        <v>0</v>
      </c>
      <c r="AX109" s="131">
        <f t="shared" si="68"/>
        <v>0</v>
      </c>
      <c r="AY109" s="131">
        <f aca="true" t="shared" si="69" ref="AY109:CD109">IF(AY$101=$D$118+$E$118,$M$120,0)</f>
        <v>0</v>
      </c>
      <c r="AZ109" s="131">
        <f t="shared" si="69"/>
        <v>0</v>
      </c>
      <c r="BA109" s="131">
        <f t="shared" si="69"/>
        <v>0</v>
      </c>
      <c r="BB109" s="131">
        <f t="shared" si="69"/>
        <v>0</v>
      </c>
      <c r="BC109" s="131">
        <f t="shared" si="69"/>
        <v>0</v>
      </c>
      <c r="BD109" s="131">
        <f t="shared" si="69"/>
        <v>0</v>
      </c>
      <c r="BE109" s="131">
        <f t="shared" si="69"/>
        <v>0</v>
      </c>
      <c r="BF109" s="131">
        <f t="shared" si="69"/>
        <v>0</v>
      </c>
      <c r="BG109" s="131">
        <f t="shared" si="69"/>
        <v>0</v>
      </c>
      <c r="BH109" s="131">
        <f t="shared" si="69"/>
        <v>0</v>
      </c>
      <c r="BI109" s="131">
        <f t="shared" si="69"/>
        <v>0</v>
      </c>
      <c r="BJ109" s="131">
        <f t="shared" si="69"/>
        <v>0</v>
      </c>
      <c r="BK109" s="131">
        <f t="shared" si="69"/>
        <v>0</v>
      </c>
      <c r="BL109" s="131">
        <f t="shared" si="69"/>
        <v>0</v>
      </c>
      <c r="BM109" s="131">
        <f t="shared" si="69"/>
        <v>0</v>
      </c>
      <c r="BN109" s="131">
        <f t="shared" si="69"/>
        <v>0</v>
      </c>
      <c r="BO109" s="131">
        <f t="shared" si="69"/>
        <v>0</v>
      </c>
      <c r="BP109" s="131">
        <f t="shared" si="69"/>
        <v>0</v>
      </c>
      <c r="BQ109" s="131">
        <f t="shared" si="69"/>
        <v>0</v>
      </c>
      <c r="BR109" s="131">
        <f t="shared" si="69"/>
        <v>0</v>
      </c>
      <c r="BS109" s="131">
        <f t="shared" si="69"/>
        <v>0</v>
      </c>
      <c r="BT109" s="131">
        <f t="shared" si="69"/>
        <v>0</v>
      </c>
      <c r="BU109" s="131">
        <f t="shared" si="69"/>
        <v>0</v>
      </c>
      <c r="BV109" s="131">
        <f t="shared" si="69"/>
        <v>0</v>
      </c>
      <c r="BW109" s="131">
        <f t="shared" si="69"/>
        <v>0</v>
      </c>
      <c r="BX109" s="131">
        <f t="shared" si="69"/>
        <v>0</v>
      </c>
      <c r="BY109" s="131">
        <f t="shared" si="69"/>
        <v>0</v>
      </c>
      <c r="BZ109" s="131">
        <f t="shared" si="69"/>
        <v>0</v>
      </c>
      <c r="CA109" s="131">
        <f t="shared" si="69"/>
        <v>0</v>
      </c>
      <c r="CB109" s="131">
        <f t="shared" si="69"/>
        <v>0</v>
      </c>
      <c r="CC109" s="131">
        <f t="shared" si="69"/>
        <v>0</v>
      </c>
      <c r="CD109" s="131">
        <f t="shared" si="69"/>
        <v>0</v>
      </c>
      <c r="CE109" s="131">
        <f aca="true" t="shared" si="70" ref="CE109:CN109">IF(CE$101=$D$118+$E$118,$M$120,0)</f>
        <v>0</v>
      </c>
      <c r="CF109" s="131">
        <f t="shared" si="70"/>
        <v>0</v>
      </c>
      <c r="CG109" s="131">
        <f t="shared" si="70"/>
        <v>0</v>
      </c>
      <c r="CH109" s="131">
        <f t="shared" si="70"/>
        <v>0</v>
      </c>
      <c r="CI109" s="131">
        <f t="shared" si="70"/>
        <v>0</v>
      </c>
      <c r="CJ109" s="131">
        <f t="shared" si="70"/>
        <v>0</v>
      </c>
      <c r="CK109" s="131">
        <f t="shared" si="70"/>
        <v>0</v>
      </c>
      <c r="CL109" s="131">
        <f t="shared" si="70"/>
        <v>0</v>
      </c>
      <c r="CM109" s="131">
        <f t="shared" si="70"/>
        <v>0</v>
      </c>
      <c r="CN109" s="131">
        <f t="shared" si="70"/>
        <v>0</v>
      </c>
    </row>
    <row r="110" spans="2:15" ht="15" customHeight="1">
      <c r="B110" s="123"/>
      <c r="D110" s="138">
        <v>20</v>
      </c>
      <c r="E110" s="81">
        <v>10</v>
      </c>
      <c r="F110" s="87"/>
      <c r="G110" s="41"/>
      <c r="H110" s="112">
        <v>0.02</v>
      </c>
      <c r="K110" s="38">
        <f>(G110*((1+H110)^E110))/(E110*12)</f>
        <v>0</v>
      </c>
      <c r="L110" s="38">
        <f>K110*12</f>
        <v>0</v>
      </c>
      <c r="M110" s="38">
        <f>K110*E110*12</f>
        <v>0</v>
      </c>
      <c r="O110" s="123"/>
    </row>
    <row r="111" spans="2:15" ht="15" customHeight="1">
      <c r="B111" s="123"/>
      <c r="D111" s="57" t="str">
        <f>"(Pay back in yr "&amp;D110+E110&amp;" )"</f>
        <v>(Pay back in yr 30 )</v>
      </c>
      <c r="E111" s="78"/>
      <c r="F111" s="87"/>
      <c r="G111" s="41"/>
      <c r="H111" s="112">
        <v>0.04</v>
      </c>
      <c r="K111" s="38">
        <f>(G111*((1+H111)^E110))/(E110*12)</f>
        <v>0</v>
      </c>
      <c r="L111" s="38">
        <f>K111*12</f>
        <v>0</v>
      </c>
      <c r="M111" s="38">
        <f>K111*E110*12</f>
        <v>0</v>
      </c>
      <c r="O111" s="123"/>
    </row>
    <row r="112" spans="2:15" ht="12.75" customHeight="1">
      <c r="B112" s="123"/>
      <c r="E112" s="78"/>
      <c r="F112" s="140" t="s">
        <v>152</v>
      </c>
      <c r="G112" s="43">
        <f>SUM(G110:G111)</f>
        <v>0</v>
      </c>
      <c r="H112" s="89"/>
      <c r="K112" s="43">
        <f>SUM(K110:K111)</f>
        <v>0</v>
      </c>
      <c r="L112" s="43">
        <f>SUM(L110:L111)</f>
        <v>0</v>
      </c>
      <c r="M112" s="43">
        <f>SUM(M110:M111)</f>
        <v>0</v>
      </c>
      <c r="O112" s="123"/>
    </row>
    <row r="113" spans="2:15" ht="12.75" customHeight="1">
      <c r="B113" s="123"/>
      <c r="D113" s="144"/>
      <c r="E113" s="78"/>
      <c r="F113" s="143"/>
      <c r="G113" s="38"/>
      <c r="H113" s="116"/>
      <c r="K113" s="38"/>
      <c r="O113" s="123"/>
    </row>
    <row r="114" spans="2:15" ht="15" customHeight="1">
      <c r="B114" s="123"/>
      <c r="D114" s="138">
        <v>25</v>
      </c>
      <c r="E114" s="81">
        <v>10</v>
      </c>
      <c r="F114" s="87"/>
      <c r="G114" s="41"/>
      <c r="H114" s="112">
        <v>0.02</v>
      </c>
      <c r="K114" s="38">
        <f>(G114*((1+H114)^E114))/(E114*12)</f>
        <v>0</v>
      </c>
      <c r="L114" s="38">
        <f>K114*12</f>
        <v>0</v>
      </c>
      <c r="M114" s="38">
        <f>K114*E114*12</f>
        <v>0</v>
      </c>
      <c r="O114" s="123"/>
    </row>
    <row r="115" spans="2:15" ht="15" customHeight="1">
      <c r="B115" s="123"/>
      <c r="D115" s="57" t="str">
        <f>"(Pay back in yr "&amp;D114+E114&amp;" )"</f>
        <v>(Pay back in yr 35 )</v>
      </c>
      <c r="E115" s="78"/>
      <c r="F115" s="87"/>
      <c r="G115" s="41"/>
      <c r="H115" s="112">
        <v>0.04</v>
      </c>
      <c r="K115" s="38">
        <f>(G115*((1+H115)^E114))/(E114*12)</f>
        <v>0</v>
      </c>
      <c r="L115" s="38">
        <f>K115*12</f>
        <v>0</v>
      </c>
      <c r="M115" s="38">
        <f>K115*E114*12</f>
        <v>0</v>
      </c>
      <c r="O115" s="123"/>
    </row>
    <row r="116" spans="2:15" ht="12.75" customHeight="1">
      <c r="B116" s="123"/>
      <c r="E116" s="78"/>
      <c r="F116" s="140" t="s">
        <v>152</v>
      </c>
      <c r="G116" s="43">
        <f>SUM(G114:G115)</f>
        <v>0</v>
      </c>
      <c r="H116" s="89"/>
      <c r="K116" s="43">
        <f>SUM(K114:K115)</f>
        <v>0</v>
      </c>
      <c r="L116" s="43">
        <f>SUM(L114:L115)</f>
        <v>0</v>
      </c>
      <c r="M116" s="43">
        <f>SUM(M114:M115)</f>
        <v>0</v>
      </c>
      <c r="O116" s="123"/>
    </row>
    <row r="117" spans="2:15" ht="12.75" customHeight="1">
      <c r="B117" s="123"/>
      <c r="E117" s="78"/>
      <c r="F117" s="143"/>
      <c r="G117" s="38"/>
      <c r="H117" s="116"/>
      <c r="K117" s="38"/>
      <c r="O117" s="123"/>
    </row>
    <row r="118" spans="2:15" ht="15" customHeight="1">
      <c r="B118" s="123"/>
      <c r="D118" s="138">
        <v>30</v>
      </c>
      <c r="E118" s="81">
        <v>10</v>
      </c>
      <c r="F118" s="87"/>
      <c r="G118" s="41"/>
      <c r="H118" s="112">
        <v>0.02</v>
      </c>
      <c r="K118" s="38">
        <f>(G118*((1+H118)^E118))/(E118*12)</f>
        <v>0</v>
      </c>
      <c r="L118" s="38">
        <f>K118*12</f>
        <v>0</v>
      </c>
      <c r="M118" s="38">
        <f>K118*E118*12</f>
        <v>0</v>
      </c>
      <c r="O118" s="123"/>
    </row>
    <row r="119" spans="2:15" ht="15" customHeight="1">
      <c r="B119" s="123"/>
      <c r="D119" s="57" t="str">
        <f>"(Pay back in yr "&amp;D118+E118&amp;" )"</f>
        <v>(Pay back in yr 40 )</v>
      </c>
      <c r="E119" s="78"/>
      <c r="F119" s="87"/>
      <c r="G119" s="41"/>
      <c r="H119" s="112">
        <v>0.04</v>
      </c>
      <c r="K119" s="38">
        <f>(G119*((1+H119)^E118))/(E118*12)</f>
        <v>0</v>
      </c>
      <c r="L119" s="38">
        <f>K119*12</f>
        <v>0</v>
      </c>
      <c r="M119" s="38">
        <f>K119*E118*12</f>
        <v>0</v>
      </c>
      <c r="O119" s="123"/>
    </row>
    <row r="120" spans="2:15" ht="12.75" customHeight="1">
      <c r="B120" s="123"/>
      <c r="E120" s="78"/>
      <c r="F120" s="140" t="s">
        <v>152</v>
      </c>
      <c r="G120" s="43">
        <f>SUM(G118:G119)</f>
        <v>0</v>
      </c>
      <c r="H120" s="88"/>
      <c r="K120" s="43">
        <f>SUM(K118:K119)</f>
        <v>0</v>
      </c>
      <c r="L120" s="43">
        <f>SUM(L118:L119)</f>
        <v>0</v>
      </c>
      <c r="M120" s="43">
        <f>SUM(M118:M119)</f>
        <v>0</v>
      </c>
      <c r="O120" s="123"/>
    </row>
    <row r="121" spans="2:15" ht="12.75" customHeight="1">
      <c r="B121" s="123"/>
      <c r="E121" s="78"/>
      <c r="F121" s="143"/>
      <c r="G121" s="38"/>
      <c r="K121" s="38"/>
      <c r="O121" s="123"/>
    </row>
    <row r="122" spans="2:15" ht="13.5" customHeight="1">
      <c r="B122" s="123"/>
      <c r="E122" s="78"/>
      <c r="F122" s="140"/>
      <c r="G122" s="91">
        <f>G94+G99+G104+G108+G112+G116+G120</f>
        <v>0</v>
      </c>
      <c r="H122" s="145"/>
      <c r="I122" s="146"/>
      <c r="J122" s="146"/>
      <c r="K122" s="91"/>
      <c r="L122" s="147"/>
      <c r="M122" s="147">
        <f>M94+M99+M104+M108+M112+M116+M120</f>
        <v>0</v>
      </c>
      <c r="O122" s="123"/>
    </row>
    <row r="123" spans="2:15" ht="12.75" customHeight="1">
      <c r="B123" s="123"/>
      <c r="L123" s="96"/>
      <c r="M123" s="38"/>
      <c r="N123" s="130"/>
      <c r="O123" s="123"/>
    </row>
    <row r="124" spans="2:15" ht="6.75" customHeight="1">
      <c r="B124" s="123"/>
      <c r="C124" s="123"/>
      <c r="D124" s="124"/>
      <c r="E124" s="148"/>
      <c r="F124" s="123"/>
      <c r="G124" s="125"/>
      <c r="H124" s="149"/>
      <c r="I124" s="127"/>
      <c r="J124" s="127"/>
      <c r="K124" s="125"/>
      <c r="L124" s="125"/>
      <c r="M124" s="125"/>
      <c r="N124" s="123"/>
      <c r="O124" s="123"/>
    </row>
  </sheetData>
  <sheetProtection sheet="1"/>
  <mergeCells count="1">
    <mergeCell ref="B1:D1"/>
  </mergeCells>
  <dataValidations count="3">
    <dataValidation type="list" operator="equal" showErrorMessage="1" sqref="I8:I11">
      <formula1>variableOrFixedRate</formula1>
    </dataValidation>
    <dataValidation type="list" operator="equal" showErrorMessage="1" sqref="J8:J11">
      <formula1>yearOneCapitalRepaymentHoliday</formula1>
    </dataValidation>
    <dataValidation type="list" operator="equal" allowBlank="1" showErrorMessage="1" sqref="D25:D29 D32:D36 D39:D43 D46:D50 D53:D57 D60:D64 D67:D71 D74:D78">
      <formula1>lStckConfirmed</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AE44"/>
  <sheetViews>
    <sheetView zoomScalePageLayoutView="0" workbookViewId="0" topLeftCell="A1">
      <selection activeCell="C11" sqref="C11"/>
    </sheetView>
  </sheetViews>
  <sheetFormatPr defaultColWidth="9.140625" defaultRowHeight="12.75" customHeight="1"/>
  <cols>
    <col min="1" max="1" width="5.00390625" style="150" customWidth="1"/>
    <col min="2" max="2" width="34.7109375" style="151" customWidth="1"/>
    <col min="3" max="3" width="4.8515625" style="151" customWidth="1"/>
    <col min="4" max="4" width="11.00390625" style="152" customWidth="1"/>
    <col min="5" max="5" width="5.00390625" style="151" customWidth="1"/>
    <col min="6" max="6" width="11.00390625" style="152" customWidth="1"/>
    <col min="7" max="7" width="5.140625" style="151" customWidth="1"/>
    <col min="8" max="8" width="11.00390625" style="152" customWidth="1"/>
    <col min="9" max="9" width="4.8515625" style="151" customWidth="1"/>
    <col min="10" max="10" width="11.00390625" style="152" customWidth="1"/>
    <col min="11" max="11" width="5.00390625" style="151" customWidth="1"/>
    <col min="12" max="12" width="11.00390625" style="152" customWidth="1"/>
    <col min="13" max="13" width="4.8515625" style="151" customWidth="1"/>
    <col min="14" max="14" width="11.00390625" style="152" customWidth="1"/>
    <col min="15" max="15" width="4.8515625" style="151" customWidth="1"/>
    <col min="16" max="16" width="11.00390625" style="152" customWidth="1"/>
    <col min="17" max="17" width="5.00390625" style="151" customWidth="1"/>
    <col min="18" max="18" width="11.00390625" style="152" customWidth="1"/>
    <col min="19" max="19" width="5.00390625" style="151" customWidth="1"/>
    <col min="20" max="20" width="11.00390625" style="152" customWidth="1"/>
    <col min="21" max="21" width="5.140625" style="151" customWidth="1"/>
    <col min="22" max="22" width="11.00390625" style="152" customWidth="1"/>
    <col min="23" max="23" width="5.140625" style="151" customWidth="1"/>
    <col min="24" max="24" width="11.00390625" style="152" customWidth="1"/>
    <col min="25" max="25" width="5.00390625" style="151" customWidth="1"/>
    <col min="26" max="26" width="11.00390625" style="152" customWidth="1"/>
    <col min="27" max="27" width="12.28125" style="152" customWidth="1"/>
    <col min="28" max="28" width="12.8515625" style="153" customWidth="1"/>
    <col min="29" max="29" width="11.140625" style="152" customWidth="1"/>
    <col min="30" max="30" width="11.00390625" style="153" customWidth="1"/>
    <col min="31" max="31" width="9.140625" style="152" customWidth="1"/>
    <col min="32" max="16384" width="9.140625" style="151" customWidth="1"/>
  </cols>
  <sheetData>
    <row r="1" spans="2:4" ht="51" customHeight="1">
      <c r="B1" s="154" t="s">
        <v>158</v>
      </c>
      <c r="D1" s="152" t="s">
        <v>159</v>
      </c>
    </row>
    <row r="2" spans="1:30" ht="12.75" customHeight="1">
      <c r="A2" s="151"/>
      <c r="AB2" s="151"/>
      <c r="AD2" s="151"/>
    </row>
    <row r="3" spans="1:31" s="156" customFormat="1" ht="12.75" customHeight="1">
      <c r="A3" s="155" t="s">
        <v>160</v>
      </c>
      <c r="C3" s="553" t="s">
        <v>161</v>
      </c>
      <c r="D3" s="553"/>
      <c r="E3" s="554" t="s">
        <v>162</v>
      </c>
      <c r="F3" s="554"/>
      <c r="G3" s="554" t="s">
        <v>163</v>
      </c>
      <c r="H3" s="554"/>
      <c r="I3" s="554" t="s">
        <v>164</v>
      </c>
      <c r="J3" s="554"/>
      <c r="K3" s="554" t="s">
        <v>165</v>
      </c>
      <c r="L3" s="554"/>
      <c r="M3" s="554" t="s">
        <v>166</v>
      </c>
      <c r="N3" s="554"/>
      <c r="O3" s="554" t="s">
        <v>167</v>
      </c>
      <c r="P3" s="554"/>
      <c r="Q3" s="554" t="s">
        <v>168</v>
      </c>
      <c r="R3" s="554"/>
      <c r="S3" s="554" t="s">
        <v>169</v>
      </c>
      <c r="T3" s="554"/>
      <c r="U3" s="554" t="s">
        <v>170</v>
      </c>
      <c r="V3" s="554"/>
      <c r="W3" s="554" t="s">
        <v>171</v>
      </c>
      <c r="X3" s="554"/>
      <c r="Y3" s="554" t="s">
        <v>172</v>
      </c>
      <c r="Z3" s="554"/>
      <c r="AA3" s="157" t="s">
        <v>173</v>
      </c>
      <c r="AB3" s="158"/>
      <c r="AC3" s="157" t="s">
        <v>174</v>
      </c>
      <c r="AD3" s="158"/>
      <c r="AE3" s="157"/>
    </row>
    <row r="4" spans="1:31" s="161" customFormat="1" ht="12.75" customHeight="1">
      <c r="A4" s="159"/>
      <c r="B4" s="160" t="s">
        <v>127</v>
      </c>
      <c r="D4" s="162">
        <f>'Inc &amp; Exp'!G51</f>
        <v>1000</v>
      </c>
      <c r="F4" s="162"/>
      <c r="H4" s="162"/>
      <c r="J4" s="162"/>
      <c r="L4" s="162"/>
      <c r="N4" s="162"/>
      <c r="P4" s="162"/>
      <c r="R4" s="162"/>
      <c r="T4" s="162"/>
      <c r="V4" s="162"/>
      <c r="X4" s="162"/>
      <c r="Z4" s="162"/>
      <c r="AA4" s="162"/>
      <c r="AB4" s="163"/>
      <c r="AC4" s="162"/>
      <c r="AD4" s="163"/>
      <c r="AE4" s="162"/>
    </row>
    <row r="5" spans="1:31" s="161" customFormat="1" ht="12.75" customHeight="1">
      <c r="A5" s="159"/>
      <c r="B5" s="160" t="s">
        <v>175</v>
      </c>
      <c r="D5" s="162">
        <f>'Inc &amp; Exp'!G50</f>
        <v>100000</v>
      </c>
      <c r="F5" s="162"/>
      <c r="H5" s="162"/>
      <c r="J5" s="162"/>
      <c r="L5" s="162"/>
      <c r="N5" s="162"/>
      <c r="P5" s="162"/>
      <c r="R5" s="162"/>
      <c r="T5" s="162"/>
      <c r="V5" s="162"/>
      <c r="X5" s="162"/>
      <c r="Z5" s="162"/>
      <c r="AA5" s="162"/>
      <c r="AB5" s="163"/>
      <c r="AC5" s="162"/>
      <c r="AD5" s="163"/>
      <c r="AE5" s="162"/>
    </row>
    <row r="6" spans="1:31" s="161" customFormat="1" ht="12.75" customHeight="1">
      <c r="A6" s="159"/>
      <c r="B6" s="160" t="s">
        <v>176</v>
      </c>
      <c r="D6" s="162">
        <f>'Inc &amp; Exp'!G52</f>
        <v>0</v>
      </c>
      <c r="F6" s="162"/>
      <c r="H6" s="162"/>
      <c r="J6" s="162"/>
      <c r="L6" s="162"/>
      <c r="N6" s="162"/>
      <c r="P6" s="162"/>
      <c r="R6" s="162"/>
      <c r="T6" s="162"/>
      <c r="V6" s="162"/>
      <c r="X6" s="162"/>
      <c r="Z6" s="162"/>
      <c r="AA6" s="162"/>
      <c r="AB6" s="163"/>
      <c r="AC6" s="162"/>
      <c r="AD6" s="163"/>
      <c r="AE6" s="162"/>
    </row>
    <row r="7" spans="1:31" s="161" customFormat="1" ht="39" customHeight="1">
      <c r="A7" s="159"/>
      <c r="B7" s="160"/>
      <c r="C7" s="164" t="s">
        <v>177</v>
      </c>
      <c r="D7" s="162"/>
      <c r="E7" s="164" t="s">
        <v>177</v>
      </c>
      <c r="F7" s="162"/>
      <c r="G7" s="164" t="s">
        <v>177</v>
      </c>
      <c r="H7" s="162"/>
      <c r="I7" s="164" t="s">
        <v>177</v>
      </c>
      <c r="J7" s="162"/>
      <c r="K7" s="164" t="s">
        <v>177</v>
      </c>
      <c r="L7" s="162"/>
      <c r="M7" s="164" t="s">
        <v>177</v>
      </c>
      <c r="N7" s="162"/>
      <c r="O7" s="164" t="s">
        <v>177</v>
      </c>
      <c r="P7" s="162"/>
      <c r="Q7" s="164" t="s">
        <v>177</v>
      </c>
      <c r="R7" s="162"/>
      <c r="S7" s="164" t="s">
        <v>177</v>
      </c>
      <c r="T7" s="162"/>
      <c r="U7" s="164" t="s">
        <v>177</v>
      </c>
      <c r="V7" s="162"/>
      <c r="W7" s="164" t="s">
        <v>177</v>
      </c>
      <c r="X7" s="162"/>
      <c r="Y7" s="164" t="s">
        <v>177</v>
      </c>
      <c r="Z7" s="162"/>
      <c r="AA7" s="162"/>
      <c r="AB7" s="163"/>
      <c r="AC7" s="162"/>
      <c r="AD7" s="163"/>
      <c r="AE7" s="162"/>
    </row>
    <row r="8" spans="1:31" s="166" customFormat="1" ht="15" customHeight="1">
      <c r="A8" s="165"/>
      <c r="B8" s="166" t="s">
        <v>20</v>
      </c>
      <c r="C8" s="167"/>
      <c r="D8" s="168">
        <f>(('Inc &amp; Exp'!$E$14*52.2)/12)*C8</f>
        <v>0</v>
      </c>
      <c r="E8" s="167"/>
      <c r="F8" s="168">
        <f>(('Inc &amp; Exp'!$E$14*52.2)/12)*E8</f>
        <v>0</v>
      </c>
      <c r="G8" s="167"/>
      <c r="H8" s="168">
        <f>(('Inc &amp; Exp'!$E$14*52.2)/12)*G8</f>
        <v>0</v>
      </c>
      <c r="I8" s="167"/>
      <c r="J8" s="168">
        <f>(('Inc &amp; Exp'!$E$14*52.2)/12)*I8</f>
        <v>0</v>
      </c>
      <c r="K8" s="167"/>
      <c r="L8" s="168">
        <f>(('Inc &amp; Exp'!$E$14*52.2)/12)*K8</f>
        <v>0</v>
      </c>
      <c r="M8" s="167"/>
      <c r="N8" s="168">
        <f>(('Inc &amp; Exp'!$E$14*52.2)/12)*M8</f>
        <v>0</v>
      </c>
      <c r="O8" s="167"/>
      <c r="P8" s="168">
        <f>(('Inc &amp; Exp'!$E$14*52.2)/12)*O8</f>
        <v>0</v>
      </c>
      <c r="Q8" s="167"/>
      <c r="R8" s="168">
        <f>(('Inc &amp; Exp'!$E$14*52.2)/12)*Q8</f>
        <v>0</v>
      </c>
      <c r="S8" s="167"/>
      <c r="T8" s="168">
        <f>(('Inc &amp; Exp'!$E$14*52.2)/12)*S8</f>
        <v>0</v>
      </c>
      <c r="U8" s="167"/>
      <c r="V8" s="168">
        <f>(('Inc &amp; Exp'!$E$14*52.2)/12)*U8</f>
        <v>0</v>
      </c>
      <c r="W8" s="167"/>
      <c r="X8" s="168">
        <f>(('Inc &amp; Exp'!$E$14*52.2)/12)*W8</f>
        <v>0</v>
      </c>
      <c r="Y8" s="167"/>
      <c r="Z8" s="168">
        <f>(('Inc &amp; Exp'!$E$14*52.2)/12)*Y8</f>
        <v>0</v>
      </c>
      <c r="AA8" s="168">
        <f>D8+F8+H8+J8+L8+N8+P8+R8+T8+V8+X8+Z8</f>
        <v>0</v>
      </c>
      <c r="AB8" s="169"/>
      <c r="AC8" s="168"/>
      <c r="AD8" s="169"/>
      <c r="AE8" s="168"/>
    </row>
    <row r="9" spans="1:31" s="166" customFormat="1" ht="15" customHeight="1">
      <c r="A9" s="165"/>
      <c r="B9" s="166" t="s">
        <v>22</v>
      </c>
      <c r="C9" s="167"/>
      <c r="D9" s="168">
        <f>(('Inc &amp; Exp'!$E$15*52.2)/12)*C9</f>
        <v>0</v>
      </c>
      <c r="E9" s="167"/>
      <c r="F9" s="168">
        <f>(('Inc &amp; Exp'!$E$15*52.2)/12)*E9</f>
        <v>0</v>
      </c>
      <c r="G9" s="167"/>
      <c r="H9" s="168">
        <f>(('Inc &amp; Exp'!$E$15*52.2)/12)*G9</f>
        <v>0</v>
      </c>
      <c r="I9" s="167"/>
      <c r="J9" s="168">
        <f>(('Inc &amp; Exp'!$E$15*52.2)/12)*I9</f>
        <v>0</v>
      </c>
      <c r="K9" s="167"/>
      <c r="L9" s="168">
        <f>(('Inc &amp; Exp'!$E$15*52.2)/12)*K9</f>
        <v>0</v>
      </c>
      <c r="M9" s="167"/>
      <c r="N9" s="168">
        <f>(('Inc &amp; Exp'!$E$15*52.2)/12)*M9</f>
        <v>0</v>
      </c>
      <c r="O9" s="167"/>
      <c r="P9" s="168">
        <f>(('Inc &amp; Exp'!$E$15*52.2)/12)*O9</f>
        <v>0</v>
      </c>
      <c r="Q9" s="167"/>
      <c r="R9" s="168">
        <f>(('Inc &amp; Exp'!$E$15*52.2)/12)*Q9</f>
        <v>0</v>
      </c>
      <c r="S9" s="167"/>
      <c r="T9" s="168">
        <f>(('Inc &amp; Exp'!$E$15*52.2)/12)*S9</f>
        <v>0</v>
      </c>
      <c r="U9" s="167"/>
      <c r="V9" s="168">
        <f>(('Inc &amp; Exp'!$E$15*52.2)/12)*U9</f>
        <v>0</v>
      </c>
      <c r="W9" s="167"/>
      <c r="X9" s="168">
        <f>(('Inc &amp; Exp'!$E$15*52.2)/12)*W9</f>
        <v>0</v>
      </c>
      <c r="Y9" s="167"/>
      <c r="Z9" s="168">
        <f>(('Inc &amp; Exp'!$E$15*52.2)/12)*Y9</f>
        <v>0</v>
      </c>
      <c r="AA9" s="168">
        <f>D9+F9+H9+J9+L9+N9+P9+R9+T9+V9+X9+Z9</f>
        <v>0</v>
      </c>
      <c r="AB9" s="169"/>
      <c r="AC9" s="168"/>
      <c r="AD9" s="169"/>
      <c r="AE9" s="168"/>
    </row>
    <row r="10" spans="1:31" s="166" customFormat="1" ht="15" customHeight="1">
      <c r="A10" s="165"/>
      <c r="B10" s="166" t="s">
        <v>178</v>
      </c>
      <c r="C10" s="167"/>
      <c r="D10" s="168">
        <f>(('Inc &amp; Exp'!$E$16*52.2)/12)*C10</f>
        <v>0</v>
      </c>
      <c r="E10" s="167"/>
      <c r="F10" s="168">
        <f>(('Inc &amp; Exp'!$E$16*52.2)/12)*E10</f>
        <v>0</v>
      </c>
      <c r="G10" s="167"/>
      <c r="H10" s="168">
        <f>(('Inc &amp; Exp'!$E$16*52.2)/12)*G10</f>
        <v>0</v>
      </c>
      <c r="I10" s="167"/>
      <c r="J10" s="168">
        <f>(('Inc &amp; Exp'!$E$16*52.2)/12)*I10</f>
        <v>0</v>
      </c>
      <c r="K10" s="167"/>
      <c r="L10" s="168">
        <f>(('Inc &amp; Exp'!$E$16*52.2)/12)*K10</f>
        <v>0</v>
      </c>
      <c r="M10" s="167"/>
      <c r="N10" s="168">
        <f>(('Inc &amp; Exp'!$E$16*52.2)/12)*M10</f>
        <v>0</v>
      </c>
      <c r="O10" s="167"/>
      <c r="P10" s="168">
        <f>(('Inc &amp; Exp'!$E$16*52.2)/12)*O10</f>
        <v>0</v>
      </c>
      <c r="Q10" s="167"/>
      <c r="R10" s="168">
        <f>(('Inc &amp; Exp'!$E$16*52.2)/12)*Q10</f>
        <v>0</v>
      </c>
      <c r="S10" s="167"/>
      <c r="T10" s="168">
        <f>(('Inc &amp; Exp'!$E$16*52.2)/12)*S10</f>
        <v>0</v>
      </c>
      <c r="U10" s="167"/>
      <c r="V10" s="168">
        <f>(('Inc &amp; Exp'!$E$16*52.2)/12)*U10</f>
        <v>0</v>
      </c>
      <c r="W10" s="167"/>
      <c r="X10" s="168">
        <f>(('Inc &amp; Exp'!$E$16*52.2)/12)*W10</f>
        <v>0</v>
      </c>
      <c r="Y10" s="167"/>
      <c r="Z10" s="168">
        <f>(('Inc &amp; Exp'!$E$16*52.2)/12)*Y10</f>
        <v>0</v>
      </c>
      <c r="AA10" s="168">
        <f>D10+F10+H10+J10+L10+N10+P10+R10+T10+V10+X10+Z10</f>
        <v>0</v>
      </c>
      <c r="AB10" s="169"/>
      <c r="AC10" s="168"/>
      <c r="AD10" s="169"/>
      <c r="AE10" s="168"/>
    </row>
    <row r="11" spans="1:31" s="166" customFormat="1" ht="15" customHeight="1">
      <c r="A11" s="165"/>
      <c r="B11" s="166" t="s">
        <v>179</v>
      </c>
      <c r="C11" s="167"/>
      <c r="D11" s="168">
        <f>(('Inc &amp; Exp'!$E$17*52.2)/12)*C11</f>
        <v>0</v>
      </c>
      <c r="E11" s="167"/>
      <c r="F11" s="168">
        <f>(('Inc &amp; Exp'!$E$17*52.2)/12)*E11</f>
        <v>0</v>
      </c>
      <c r="G11" s="167"/>
      <c r="H11" s="168">
        <f>(('Inc &amp; Exp'!$E$17*52.2)/12)*G11</f>
        <v>0</v>
      </c>
      <c r="I11" s="167"/>
      <c r="J11" s="168">
        <f>(('Inc &amp; Exp'!$E$17*52.2)/12)*I11</f>
        <v>0</v>
      </c>
      <c r="K11" s="167"/>
      <c r="L11" s="168">
        <f>(('Inc &amp; Exp'!$E$17*52.2)/12)*K11</f>
        <v>0</v>
      </c>
      <c r="M11" s="167"/>
      <c r="N11" s="168">
        <f>(('Inc &amp; Exp'!$E$17*52.2)/12)*M11</f>
        <v>0</v>
      </c>
      <c r="O11" s="167"/>
      <c r="P11" s="168">
        <f>(('Inc &amp; Exp'!$E$17*52.2)/12)*O11</f>
        <v>0</v>
      </c>
      <c r="Q11" s="167"/>
      <c r="R11" s="168">
        <f>(('Inc &amp; Exp'!$E$17*52.2)/12)*Q11</f>
        <v>0</v>
      </c>
      <c r="S11" s="167"/>
      <c r="T11" s="168">
        <f>(('Inc &amp; Exp'!$E$17*52.2)/12)*S11</f>
        <v>0</v>
      </c>
      <c r="U11" s="167"/>
      <c r="V11" s="168">
        <f>(('Inc &amp; Exp'!$E$17*52.2)/12)*U11</f>
        <v>0</v>
      </c>
      <c r="W11" s="167"/>
      <c r="X11" s="168">
        <f>(('Inc &amp; Exp'!$E$17*52.2)/12)*W11</f>
        <v>0</v>
      </c>
      <c r="Y11" s="167"/>
      <c r="Z11" s="168">
        <f>(('Inc &amp; Exp'!$E$17*52.2)/12)*Y11</f>
        <v>0</v>
      </c>
      <c r="AA11" s="168">
        <f>D11+F11+H11+J11+L11+N11+P11+R11+T11+V11+X11+Z11</f>
        <v>0</v>
      </c>
      <c r="AB11" s="169"/>
      <c r="AC11" s="168"/>
      <c r="AD11" s="169"/>
      <c r="AE11" s="168"/>
    </row>
    <row r="12" spans="1:31" s="174" customFormat="1" ht="12.75" customHeight="1">
      <c r="A12" s="156"/>
      <c r="B12" s="170" t="s">
        <v>180</v>
      </c>
      <c r="C12" s="171"/>
      <c r="D12" s="172">
        <f>SUM(D8:D11)</f>
        <v>0</v>
      </c>
      <c r="E12" s="171"/>
      <c r="F12" s="172">
        <f>SUM(F8:F11)</f>
        <v>0</v>
      </c>
      <c r="G12" s="171"/>
      <c r="H12" s="172">
        <f>SUM(H8:H11)</f>
        <v>0</v>
      </c>
      <c r="I12" s="171"/>
      <c r="J12" s="172">
        <f>SUM(J8:J11)</f>
        <v>0</v>
      </c>
      <c r="K12" s="171"/>
      <c r="L12" s="172">
        <f>SUM(L8:L11)</f>
        <v>0</v>
      </c>
      <c r="M12" s="171"/>
      <c r="N12" s="172">
        <f>SUM(N8:N11)</f>
        <v>0</v>
      </c>
      <c r="O12" s="171"/>
      <c r="P12" s="172">
        <f>SUM(P8:P11)</f>
        <v>0</v>
      </c>
      <c r="Q12" s="171"/>
      <c r="R12" s="172">
        <f>SUM(R8:R11)</f>
        <v>0</v>
      </c>
      <c r="S12" s="171"/>
      <c r="T12" s="172">
        <f>SUM(T8:T11)</f>
        <v>0</v>
      </c>
      <c r="U12" s="171"/>
      <c r="V12" s="172">
        <f>SUM(V8:V11)</f>
        <v>0</v>
      </c>
      <c r="W12" s="171"/>
      <c r="X12" s="172">
        <f>SUM(X8:X11)</f>
        <v>0</v>
      </c>
      <c r="Y12" s="171"/>
      <c r="Z12" s="172">
        <f>SUM(Z8:Z11)</f>
        <v>0</v>
      </c>
      <c r="AA12" s="172">
        <f>SUM(A12:Z12)</f>
        <v>0</v>
      </c>
      <c r="AB12" s="173"/>
      <c r="AC12" s="172">
        <f>'40 Year Breakdown'!D20</f>
        <v>0</v>
      </c>
      <c r="AD12" s="173"/>
      <c r="AE12" s="172"/>
    </row>
    <row r="13" spans="1:31" s="175" customFormat="1" ht="15" customHeight="1">
      <c r="A13" s="165"/>
      <c r="B13" s="175" t="s">
        <v>44</v>
      </c>
      <c r="C13" s="176"/>
      <c r="D13" s="177">
        <v>0</v>
      </c>
      <c r="E13" s="176"/>
      <c r="F13" s="177">
        <v>0</v>
      </c>
      <c r="G13" s="176"/>
      <c r="H13" s="177">
        <v>0</v>
      </c>
      <c r="I13" s="176"/>
      <c r="J13" s="177">
        <v>0</v>
      </c>
      <c r="K13" s="176"/>
      <c r="L13" s="177">
        <v>0</v>
      </c>
      <c r="M13" s="176"/>
      <c r="N13" s="177">
        <v>0</v>
      </c>
      <c r="O13" s="176"/>
      <c r="P13" s="177">
        <v>0</v>
      </c>
      <c r="Q13" s="176"/>
      <c r="R13" s="177">
        <v>0</v>
      </c>
      <c r="S13" s="176"/>
      <c r="T13" s="177">
        <v>0</v>
      </c>
      <c r="U13" s="176"/>
      <c r="V13" s="177">
        <v>0</v>
      </c>
      <c r="W13" s="176"/>
      <c r="X13" s="177">
        <v>0</v>
      </c>
      <c r="Y13" s="176"/>
      <c r="Z13" s="177">
        <v>0</v>
      </c>
      <c r="AA13" s="168">
        <f>D13+F13+H13+J13+L13+N13+P13+R13+T13+V13+X13+Z13</f>
        <v>0</v>
      </c>
      <c r="AB13" s="178"/>
      <c r="AC13" s="179"/>
      <c r="AD13" s="178"/>
      <c r="AE13" s="179"/>
    </row>
    <row r="14" spans="1:31" s="166" customFormat="1" ht="12.75" customHeight="1">
      <c r="A14" s="165"/>
      <c r="C14" s="180"/>
      <c r="D14" s="168"/>
      <c r="E14" s="180"/>
      <c r="F14" s="168"/>
      <c r="G14" s="180"/>
      <c r="H14" s="168"/>
      <c r="I14" s="180"/>
      <c r="J14" s="168"/>
      <c r="K14" s="180"/>
      <c r="L14" s="168"/>
      <c r="M14" s="180"/>
      <c r="N14" s="168"/>
      <c r="O14" s="180"/>
      <c r="P14" s="168"/>
      <c r="Q14" s="180"/>
      <c r="R14" s="168"/>
      <c r="S14" s="180"/>
      <c r="T14" s="168"/>
      <c r="U14" s="180"/>
      <c r="V14" s="168"/>
      <c r="W14" s="180"/>
      <c r="X14" s="168"/>
      <c r="Y14" s="180"/>
      <c r="Z14" s="168"/>
      <c r="AA14" s="168"/>
      <c r="AB14" s="169"/>
      <c r="AC14" s="168"/>
      <c r="AD14" s="169"/>
      <c r="AE14" s="168"/>
    </row>
    <row r="15" spans="2:31" s="181" customFormat="1" ht="12.75" customHeight="1">
      <c r="B15" s="181" t="s">
        <v>181</v>
      </c>
      <c r="D15" s="157">
        <f>SUM(D4:D6)+D12+D13</f>
        <v>101000</v>
      </c>
      <c r="F15" s="157">
        <f>F12+F13</f>
        <v>0</v>
      </c>
      <c r="H15" s="157">
        <f>H12+H13</f>
        <v>0</v>
      </c>
      <c r="J15" s="157">
        <f>J12+J13</f>
        <v>0</v>
      </c>
      <c r="L15" s="157">
        <f>L12+L13</f>
        <v>0</v>
      </c>
      <c r="N15" s="157">
        <f>N12+N13</f>
        <v>0</v>
      </c>
      <c r="P15" s="157">
        <f>P12+P13</f>
        <v>0</v>
      </c>
      <c r="R15" s="157">
        <f>R12+R13</f>
        <v>0</v>
      </c>
      <c r="T15" s="157">
        <f>T12+T13</f>
        <v>0</v>
      </c>
      <c r="V15" s="157">
        <f>V12+V13</f>
        <v>0</v>
      </c>
      <c r="X15" s="157">
        <f>X12+X13</f>
        <v>0</v>
      </c>
      <c r="Z15" s="157">
        <f>Z12+Z13</f>
        <v>0</v>
      </c>
      <c r="AA15" s="157">
        <f>SUM(A15:Z15)</f>
        <v>101000</v>
      </c>
      <c r="AC15" s="157">
        <f>'40 Year Breakdown'!D23</f>
        <v>101000</v>
      </c>
      <c r="AE15" s="157"/>
    </row>
    <row r="16" spans="1:31" s="56" customFormat="1" ht="12.75" customHeight="1">
      <c r="A16" s="57"/>
      <c r="D16" s="59"/>
      <c r="F16" s="59"/>
      <c r="H16" s="59"/>
      <c r="J16" s="59"/>
      <c r="L16" s="59"/>
      <c r="N16" s="59"/>
      <c r="P16" s="59"/>
      <c r="R16" s="59"/>
      <c r="T16" s="59"/>
      <c r="V16" s="59"/>
      <c r="X16" s="59"/>
      <c r="Z16" s="59"/>
      <c r="AA16" s="59"/>
      <c r="AB16" s="182"/>
      <c r="AC16" s="59"/>
      <c r="AD16" s="182"/>
      <c r="AE16" s="59"/>
    </row>
    <row r="17" spans="1:31" s="184" customFormat="1" ht="12.75" customHeight="1">
      <c r="A17" s="183" t="s">
        <v>182</v>
      </c>
      <c r="C17" s="185"/>
      <c r="D17" s="186"/>
      <c r="E17" s="185"/>
      <c r="F17" s="187"/>
      <c r="G17" s="185"/>
      <c r="H17" s="187"/>
      <c r="I17" s="185"/>
      <c r="J17" s="187"/>
      <c r="K17" s="185"/>
      <c r="L17" s="187"/>
      <c r="M17" s="185"/>
      <c r="N17" s="187"/>
      <c r="O17" s="185"/>
      <c r="P17" s="187"/>
      <c r="Q17" s="185"/>
      <c r="R17" s="187"/>
      <c r="S17" s="185"/>
      <c r="T17" s="187"/>
      <c r="U17" s="185"/>
      <c r="V17" s="187"/>
      <c r="W17" s="185"/>
      <c r="X17" s="187"/>
      <c r="Y17" s="185"/>
      <c r="Z17" s="187"/>
      <c r="AA17" s="187"/>
      <c r="AB17" s="188"/>
      <c r="AC17" s="187"/>
      <c r="AD17" s="188"/>
      <c r="AE17" s="187"/>
    </row>
    <row r="18" spans="1:31" s="166" customFormat="1" ht="12.75" customHeight="1">
      <c r="A18" s="185"/>
      <c r="B18" s="160" t="s">
        <v>183</v>
      </c>
      <c r="D18" s="168">
        <f>'Inc &amp; Exp'!G64</f>
        <v>0</v>
      </c>
      <c r="E18" s="180"/>
      <c r="F18" s="168"/>
      <c r="G18" s="180"/>
      <c r="H18" s="168"/>
      <c r="I18" s="180"/>
      <c r="J18" s="168"/>
      <c r="K18" s="180"/>
      <c r="L18" s="168"/>
      <c r="M18" s="180"/>
      <c r="N18" s="168"/>
      <c r="O18" s="180"/>
      <c r="P18" s="168"/>
      <c r="Q18" s="180"/>
      <c r="R18" s="168"/>
      <c r="S18" s="180"/>
      <c r="T18" s="168"/>
      <c r="U18" s="180"/>
      <c r="V18" s="168"/>
      <c r="W18" s="180"/>
      <c r="X18" s="168"/>
      <c r="Y18" s="180"/>
      <c r="Z18" s="168"/>
      <c r="AA18" s="168">
        <f>SUM(A18:Z18)</f>
        <v>0</v>
      </c>
      <c r="AB18" s="169"/>
      <c r="AC18" s="168"/>
      <c r="AD18" s="169"/>
      <c r="AE18" s="168"/>
    </row>
    <row r="19" spans="1:31" s="166" customFormat="1" ht="12.75" customHeight="1">
      <c r="A19" s="185"/>
      <c r="B19" s="160" t="s">
        <v>184</v>
      </c>
      <c r="D19" s="168">
        <f>'Inc &amp; Exp'!G65</f>
        <v>0</v>
      </c>
      <c r="E19" s="180"/>
      <c r="F19" s="168"/>
      <c r="G19" s="180"/>
      <c r="H19" s="168"/>
      <c r="I19" s="180"/>
      <c r="J19" s="168"/>
      <c r="K19" s="180"/>
      <c r="L19" s="168"/>
      <c r="M19" s="180"/>
      <c r="N19" s="168"/>
      <c r="O19" s="180"/>
      <c r="P19" s="168"/>
      <c r="Q19" s="180"/>
      <c r="R19" s="168"/>
      <c r="S19" s="180"/>
      <c r="T19" s="168"/>
      <c r="U19" s="180"/>
      <c r="V19" s="168"/>
      <c r="W19" s="180"/>
      <c r="X19" s="168"/>
      <c r="Y19" s="180"/>
      <c r="Z19" s="168"/>
      <c r="AA19" s="168">
        <f>SUM(A19:Z19)</f>
        <v>0</v>
      </c>
      <c r="AB19" s="169"/>
      <c r="AC19" s="168"/>
      <c r="AD19" s="169"/>
      <c r="AE19" s="168"/>
    </row>
    <row r="20" spans="1:31" s="166" customFormat="1" ht="12.75" customHeight="1">
      <c r="A20" s="185"/>
      <c r="B20" s="160" t="s">
        <v>185</v>
      </c>
      <c r="D20" s="168">
        <f>SUM('Inc &amp; Exp'!G67:G72)</f>
        <v>0</v>
      </c>
      <c r="E20" s="180"/>
      <c r="F20" s="168"/>
      <c r="G20" s="180"/>
      <c r="H20" s="168"/>
      <c r="I20" s="180"/>
      <c r="J20" s="168"/>
      <c r="K20" s="180"/>
      <c r="L20" s="168"/>
      <c r="M20" s="180"/>
      <c r="N20" s="168"/>
      <c r="O20" s="180"/>
      <c r="P20" s="168"/>
      <c r="Q20" s="180"/>
      <c r="R20" s="168"/>
      <c r="S20" s="180"/>
      <c r="T20" s="168"/>
      <c r="U20" s="180"/>
      <c r="V20" s="168"/>
      <c r="W20" s="180"/>
      <c r="X20" s="168"/>
      <c r="Y20" s="180"/>
      <c r="Z20" s="168"/>
      <c r="AA20" s="168">
        <f>SUM(A20:Z20)</f>
        <v>0</v>
      </c>
      <c r="AB20" s="169"/>
      <c r="AC20" s="168"/>
      <c r="AD20" s="169"/>
      <c r="AE20" s="168"/>
    </row>
    <row r="21" spans="1:31" s="166" customFormat="1" ht="12.75" customHeight="1">
      <c r="A21" s="185"/>
      <c r="B21" s="160" t="s">
        <v>186</v>
      </c>
      <c r="D21" s="168">
        <f>SUM('Inc &amp; Exp'!G75:G77)</f>
        <v>0</v>
      </c>
      <c r="E21" s="180"/>
      <c r="F21" s="168"/>
      <c r="G21" s="180"/>
      <c r="H21" s="168"/>
      <c r="I21" s="180"/>
      <c r="J21" s="168"/>
      <c r="K21" s="180"/>
      <c r="L21" s="168"/>
      <c r="M21" s="180"/>
      <c r="N21" s="168"/>
      <c r="O21" s="180"/>
      <c r="P21" s="168"/>
      <c r="Q21" s="180"/>
      <c r="R21" s="168"/>
      <c r="S21" s="180"/>
      <c r="T21" s="168"/>
      <c r="U21" s="180"/>
      <c r="V21" s="168"/>
      <c r="W21" s="180"/>
      <c r="X21" s="168"/>
      <c r="Y21" s="180"/>
      <c r="Z21" s="168"/>
      <c r="AA21" s="168">
        <f>SUM(A21:Z21)</f>
        <v>0</v>
      </c>
      <c r="AB21" s="169"/>
      <c r="AC21" s="168">
        <f>SUM(AA18:AA21)</f>
        <v>0</v>
      </c>
      <c r="AD21" s="169"/>
      <c r="AE21" s="168"/>
    </row>
    <row r="22" spans="1:31" s="166" customFormat="1" ht="12.75" customHeight="1">
      <c r="A22" s="185"/>
      <c r="B22" s="160"/>
      <c r="D22" s="168"/>
      <c r="E22" s="180"/>
      <c r="F22" s="168"/>
      <c r="G22" s="180"/>
      <c r="H22" s="168"/>
      <c r="I22" s="180"/>
      <c r="J22" s="168"/>
      <c r="K22" s="180"/>
      <c r="L22" s="168"/>
      <c r="M22" s="180"/>
      <c r="N22" s="168"/>
      <c r="O22" s="180"/>
      <c r="P22" s="168"/>
      <c r="Q22" s="180"/>
      <c r="R22" s="168"/>
      <c r="S22" s="180"/>
      <c r="T22" s="168"/>
      <c r="U22" s="180"/>
      <c r="V22" s="168"/>
      <c r="W22" s="180"/>
      <c r="X22" s="168"/>
      <c r="Y22" s="180"/>
      <c r="Z22" s="168"/>
      <c r="AA22" s="168"/>
      <c r="AB22" s="169"/>
      <c r="AC22" s="168"/>
      <c r="AD22" s="169"/>
      <c r="AE22" s="168"/>
    </row>
    <row r="23" spans="1:31" s="166" customFormat="1" ht="12.75" customHeight="1">
      <c r="A23" s="185"/>
      <c r="B23" s="166" t="s">
        <v>187</v>
      </c>
      <c r="C23" s="180"/>
      <c r="D23" s="168">
        <f>'Inc &amp; Exp'!G26/12</f>
        <v>0</v>
      </c>
      <c r="E23" s="180"/>
      <c r="F23" s="168">
        <f>D23</f>
        <v>0</v>
      </c>
      <c r="G23" s="180"/>
      <c r="H23" s="168">
        <f>F23</f>
        <v>0</v>
      </c>
      <c r="I23" s="180"/>
      <c r="J23" s="168">
        <f>H23</f>
        <v>0</v>
      </c>
      <c r="K23" s="180"/>
      <c r="L23" s="168">
        <f>J23</f>
        <v>0</v>
      </c>
      <c r="M23" s="180"/>
      <c r="N23" s="168">
        <f>L23</f>
        <v>0</v>
      </c>
      <c r="O23" s="180"/>
      <c r="P23" s="168">
        <f>N23</f>
        <v>0</v>
      </c>
      <c r="Q23" s="180"/>
      <c r="R23" s="168">
        <f>P23</f>
        <v>0</v>
      </c>
      <c r="S23" s="180"/>
      <c r="T23" s="168">
        <f>R23</f>
        <v>0</v>
      </c>
      <c r="U23" s="180"/>
      <c r="V23" s="168">
        <f>T23</f>
        <v>0</v>
      </c>
      <c r="W23" s="180"/>
      <c r="X23" s="168">
        <f>V23</f>
        <v>0</v>
      </c>
      <c r="Y23" s="180"/>
      <c r="Z23" s="168">
        <f>X23</f>
        <v>0</v>
      </c>
      <c r="AA23" s="168">
        <f aca="true" t="shared" si="0" ref="AA23:AA29">SUM(A23:Z23)</f>
        <v>0</v>
      </c>
      <c r="AB23" s="169"/>
      <c r="AC23" s="168">
        <f>'40 Year Breakdown'!D29</f>
        <v>0</v>
      </c>
      <c r="AD23" s="169"/>
      <c r="AE23" s="168"/>
    </row>
    <row r="24" spans="1:31" s="166" customFormat="1" ht="15" customHeight="1">
      <c r="A24" s="185"/>
      <c r="B24" s="166" t="s">
        <v>188</v>
      </c>
      <c r="C24" s="180"/>
      <c r="D24" s="177">
        <v>0</v>
      </c>
      <c r="F24" s="177">
        <v>0</v>
      </c>
      <c r="H24" s="177">
        <v>0</v>
      </c>
      <c r="J24" s="177">
        <v>0</v>
      </c>
      <c r="L24" s="177">
        <v>0</v>
      </c>
      <c r="N24" s="177">
        <v>0</v>
      </c>
      <c r="P24" s="177">
        <v>0</v>
      </c>
      <c r="R24" s="177">
        <v>0</v>
      </c>
      <c r="T24" s="177">
        <v>0</v>
      </c>
      <c r="V24" s="177">
        <v>0</v>
      </c>
      <c r="X24" s="177">
        <v>0</v>
      </c>
      <c r="Z24" s="177">
        <v>0</v>
      </c>
      <c r="AA24" s="168">
        <f t="shared" si="0"/>
        <v>0</v>
      </c>
      <c r="AB24" s="169"/>
      <c r="AC24" s="168">
        <f>'40 Year Breakdown'!D30</f>
        <v>0</v>
      </c>
      <c r="AD24" s="169" t="s">
        <v>189</v>
      </c>
      <c r="AE24" s="168">
        <f>'Inc &amp; Exp'!G77</f>
        <v>0</v>
      </c>
    </row>
    <row r="25" spans="1:31" s="166" customFormat="1" ht="12.75" customHeight="1">
      <c r="A25" s="185"/>
      <c r="B25" s="166" t="s">
        <v>38</v>
      </c>
      <c r="C25" s="180"/>
      <c r="D25" s="168"/>
      <c r="E25" s="180"/>
      <c r="F25" s="168"/>
      <c r="G25" s="180"/>
      <c r="H25" s="168"/>
      <c r="I25" s="180"/>
      <c r="J25" s="168"/>
      <c r="K25" s="180"/>
      <c r="L25" s="168"/>
      <c r="M25" s="180"/>
      <c r="N25" s="168"/>
      <c r="O25" s="180"/>
      <c r="P25" s="168"/>
      <c r="Q25" s="180"/>
      <c r="R25" s="168"/>
      <c r="S25" s="180"/>
      <c r="T25" s="168"/>
      <c r="U25" s="180"/>
      <c r="V25" s="168"/>
      <c r="W25" s="180"/>
      <c r="X25" s="168"/>
      <c r="Y25" s="180"/>
      <c r="Z25" s="168">
        <f>'Inc &amp; Exp'!G28</f>
        <v>0</v>
      </c>
      <c r="AA25" s="168">
        <f t="shared" si="0"/>
        <v>0</v>
      </c>
      <c r="AB25" s="169"/>
      <c r="AC25" s="168">
        <f>'40 Year Breakdown'!D31</f>
        <v>0</v>
      </c>
      <c r="AD25" s="169"/>
      <c r="AE25" s="168"/>
    </row>
    <row r="26" spans="1:31" s="166" customFormat="1" ht="12.75" customHeight="1">
      <c r="A26" s="185"/>
      <c r="B26" s="166" t="s">
        <v>190</v>
      </c>
      <c r="C26" s="180"/>
      <c r="D26" s="168">
        <f>'Inc &amp; Exp'!$G$29/4</f>
        <v>0</v>
      </c>
      <c r="E26" s="180"/>
      <c r="F26" s="168"/>
      <c r="G26" s="180"/>
      <c r="H26" s="168"/>
      <c r="I26" s="180"/>
      <c r="J26" s="168">
        <f>'Inc &amp; Exp'!$G$29/4</f>
        <v>0</v>
      </c>
      <c r="K26" s="180"/>
      <c r="L26" s="168"/>
      <c r="M26" s="180"/>
      <c r="N26" s="168"/>
      <c r="O26" s="180"/>
      <c r="P26" s="168">
        <f>'Inc &amp; Exp'!$G$29/4</f>
        <v>0</v>
      </c>
      <c r="Q26" s="180"/>
      <c r="R26" s="168"/>
      <c r="S26" s="180"/>
      <c r="T26" s="168"/>
      <c r="U26" s="180"/>
      <c r="V26" s="168">
        <f>'Inc &amp; Exp'!$G$29/4</f>
        <v>0</v>
      </c>
      <c r="W26" s="180"/>
      <c r="X26" s="168"/>
      <c r="Y26" s="180"/>
      <c r="Z26" s="168"/>
      <c r="AA26" s="168">
        <f t="shared" si="0"/>
        <v>0</v>
      </c>
      <c r="AB26" s="169"/>
      <c r="AC26" s="168">
        <f>'40 Year Breakdown'!D32</f>
        <v>0</v>
      </c>
      <c r="AD26" s="169"/>
      <c r="AE26" s="168"/>
    </row>
    <row r="27" spans="1:31" s="166" customFormat="1" ht="12.75" customHeight="1">
      <c r="A27" s="185"/>
      <c r="B27" s="166" t="s">
        <v>191</v>
      </c>
      <c r="C27" s="180"/>
      <c r="D27" s="168">
        <f>'Inc &amp; Exp'!G30</f>
        <v>0</v>
      </c>
      <c r="E27" s="180"/>
      <c r="F27" s="168"/>
      <c r="G27" s="180"/>
      <c r="H27" s="168"/>
      <c r="I27" s="180"/>
      <c r="J27" s="168"/>
      <c r="K27" s="180"/>
      <c r="L27" s="168"/>
      <c r="M27" s="180"/>
      <c r="N27" s="168"/>
      <c r="O27" s="180"/>
      <c r="P27" s="168"/>
      <c r="Q27" s="180"/>
      <c r="R27" s="168"/>
      <c r="S27" s="180"/>
      <c r="T27" s="168"/>
      <c r="U27" s="180"/>
      <c r="V27" s="168"/>
      <c r="W27" s="180"/>
      <c r="X27" s="168"/>
      <c r="Y27" s="180"/>
      <c r="Z27" s="168"/>
      <c r="AA27" s="168">
        <f t="shared" si="0"/>
        <v>0</v>
      </c>
      <c r="AB27" s="169"/>
      <c r="AC27" s="168">
        <f>'40 Year Breakdown'!D33</f>
        <v>0</v>
      </c>
      <c r="AD27" s="169"/>
      <c r="AE27" s="168"/>
    </row>
    <row r="28" spans="1:31" s="166" customFormat="1" ht="12.75" customHeight="1">
      <c r="A28" s="185"/>
      <c r="B28" s="166" t="s">
        <v>42</v>
      </c>
      <c r="C28" s="180"/>
      <c r="D28" s="168">
        <f>'Inc &amp; Exp'!$G$31/12</f>
        <v>0</v>
      </c>
      <c r="E28" s="180"/>
      <c r="F28" s="168">
        <f>'Inc &amp; Exp'!$G$31/12</f>
        <v>0</v>
      </c>
      <c r="G28" s="180"/>
      <c r="H28" s="168">
        <f>'Inc &amp; Exp'!$G$31/12</f>
        <v>0</v>
      </c>
      <c r="I28" s="180"/>
      <c r="J28" s="168">
        <f>'Inc &amp; Exp'!$G$31/12</f>
        <v>0</v>
      </c>
      <c r="K28" s="180"/>
      <c r="L28" s="168">
        <f>'Inc &amp; Exp'!$G$31/12</f>
        <v>0</v>
      </c>
      <c r="M28" s="180"/>
      <c r="N28" s="168">
        <f>'Inc &amp; Exp'!$G$31/12</f>
        <v>0</v>
      </c>
      <c r="O28" s="180"/>
      <c r="P28" s="168">
        <f>'Inc &amp; Exp'!$G$31/12</f>
        <v>0</v>
      </c>
      <c r="Q28" s="180"/>
      <c r="R28" s="168">
        <f>'Inc &amp; Exp'!$G$31/12</f>
        <v>0</v>
      </c>
      <c r="S28" s="180"/>
      <c r="T28" s="168">
        <f>'Inc &amp; Exp'!$G$31/12</f>
        <v>0</v>
      </c>
      <c r="U28" s="180"/>
      <c r="V28" s="168">
        <f>'Inc &amp; Exp'!$G$31/12</f>
        <v>0</v>
      </c>
      <c r="W28" s="180"/>
      <c r="X28" s="168">
        <f>'Inc &amp; Exp'!$G$31/12</f>
        <v>0</v>
      </c>
      <c r="Y28" s="180"/>
      <c r="Z28" s="168">
        <f>'Inc &amp; Exp'!$G$31/12</f>
        <v>0</v>
      </c>
      <c r="AA28" s="168">
        <f t="shared" si="0"/>
        <v>0</v>
      </c>
      <c r="AB28" s="169"/>
      <c r="AC28" s="168">
        <f>'40 Year Breakdown'!D34</f>
        <v>0</v>
      </c>
      <c r="AD28" s="169"/>
      <c r="AE28" s="168"/>
    </row>
    <row r="29" spans="1:31" s="166" customFormat="1" ht="15" customHeight="1">
      <c r="A29" s="185"/>
      <c r="B29" s="175" t="s">
        <v>44</v>
      </c>
      <c r="C29" s="176"/>
      <c r="D29" s="177">
        <v>0</v>
      </c>
      <c r="E29" s="176"/>
      <c r="F29" s="177">
        <v>0</v>
      </c>
      <c r="G29" s="176"/>
      <c r="H29" s="177">
        <v>0</v>
      </c>
      <c r="I29" s="176"/>
      <c r="J29" s="177">
        <v>0</v>
      </c>
      <c r="K29" s="176"/>
      <c r="L29" s="177">
        <v>0</v>
      </c>
      <c r="M29" s="176"/>
      <c r="N29" s="177">
        <v>0</v>
      </c>
      <c r="O29" s="176"/>
      <c r="P29" s="177">
        <v>0</v>
      </c>
      <c r="Q29" s="176"/>
      <c r="R29" s="177">
        <v>0</v>
      </c>
      <c r="S29" s="176"/>
      <c r="T29" s="177">
        <v>0</v>
      </c>
      <c r="U29" s="176"/>
      <c r="V29" s="177">
        <v>0</v>
      </c>
      <c r="W29" s="176"/>
      <c r="X29" s="177">
        <v>0</v>
      </c>
      <c r="Y29" s="176"/>
      <c r="Z29" s="177">
        <v>0</v>
      </c>
      <c r="AA29" s="168">
        <f t="shared" si="0"/>
        <v>0</v>
      </c>
      <c r="AB29" s="169"/>
      <c r="AC29" s="168"/>
      <c r="AD29" s="169"/>
      <c r="AE29" s="168"/>
    </row>
    <row r="30" spans="1:31" s="166" customFormat="1" ht="12.75" customHeight="1">
      <c r="A30" s="185"/>
      <c r="B30" s="175"/>
      <c r="C30" s="176"/>
      <c r="D30" s="2"/>
      <c r="E30" s="176"/>
      <c r="F30" s="2"/>
      <c r="G30" s="176"/>
      <c r="H30" s="2"/>
      <c r="I30" s="176"/>
      <c r="J30" s="2"/>
      <c r="K30" s="176"/>
      <c r="L30" s="2"/>
      <c r="M30" s="176"/>
      <c r="N30" s="2"/>
      <c r="O30" s="176"/>
      <c r="P30" s="2"/>
      <c r="Q30" s="176"/>
      <c r="R30" s="2"/>
      <c r="S30" s="176"/>
      <c r="T30" s="2"/>
      <c r="U30" s="176"/>
      <c r="V30" s="2"/>
      <c r="W30" s="176"/>
      <c r="X30" s="2"/>
      <c r="Y30" s="176"/>
      <c r="Z30" s="2"/>
      <c r="AA30" s="168"/>
      <c r="AB30" s="169"/>
      <c r="AC30" s="168"/>
      <c r="AD30" s="169"/>
      <c r="AE30" s="168"/>
    </row>
    <row r="31" spans="1:31" s="166" customFormat="1" ht="12.75" customHeight="1">
      <c r="A31" s="185"/>
      <c r="B31" s="166" t="s">
        <v>192</v>
      </c>
      <c r="C31" s="180"/>
      <c r="D31" s="168">
        <f>Loans!$S$21</f>
        <v>583.572856443553</v>
      </c>
      <c r="E31" s="180"/>
      <c r="F31" s="168">
        <f>Loans!$S$21</f>
        <v>583.572856443553</v>
      </c>
      <c r="G31" s="180"/>
      <c r="H31" s="168">
        <f>Loans!$S$21</f>
        <v>583.572856443553</v>
      </c>
      <c r="I31" s="180"/>
      <c r="J31" s="168">
        <f>Loans!$S$21</f>
        <v>583.572856443553</v>
      </c>
      <c r="K31" s="180"/>
      <c r="L31" s="168">
        <f>Loans!$S$21</f>
        <v>583.572856443553</v>
      </c>
      <c r="M31" s="180"/>
      <c r="N31" s="168">
        <f>Loans!$S$21</f>
        <v>583.572856443553</v>
      </c>
      <c r="O31" s="180"/>
      <c r="P31" s="168">
        <f>Loans!$S$21</f>
        <v>583.572856443553</v>
      </c>
      <c r="Q31" s="180"/>
      <c r="R31" s="168">
        <f>Loans!$S$21</f>
        <v>583.572856443553</v>
      </c>
      <c r="S31" s="180"/>
      <c r="T31" s="168">
        <f>Loans!$S$21</f>
        <v>583.572856443553</v>
      </c>
      <c r="U31" s="180"/>
      <c r="V31" s="168">
        <f>Loans!$S$21</f>
        <v>583.572856443553</v>
      </c>
      <c r="W31" s="180"/>
      <c r="X31" s="168">
        <f>Loans!$S$21</f>
        <v>583.572856443553</v>
      </c>
      <c r="Y31" s="180"/>
      <c r="Z31" s="168">
        <f>Loans!$S$21</f>
        <v>583.572856443553</v>
      </c>
      <c r="AA31" s="168">
        <f>SUM(A31:Z31)</f>
        <v>7002.874277322636</v>
      </c>
      <c r="AB31" s="169"/>
      <c r="AC31" s="168">
        <f>'40 Year Breakdown'!D41</f>
        <v>7002.874277322635</v>
      </c>
      <c r="AD31" s="169"/>
      <c r="AE31" s="168"/>
    </row>
    <row r="32" spans="1:31" s="175" customFormat="1" ht="12.75" customHeight="1">
      <c r="A32" s="185"/>
      <c r="D32" s="179"/>
      <c r="F32" s="179"/>
      <c r="H32" s="179"/>
      <c r="J32" s="179"/>
      <c r="L32" s="179"/>
      <c r="N32" s="179"/>
      <c r="P32" s="179"/>
      <c r="R32" s="179"/>
      <c r="T32" s="179"/>
      <c r="V32" s="179"/>
      <c r="X32" s="179"/>
      <c r="Z32" s="179"/>
      <c r="AA32" s="179"/>
      <c r="AB32" s="178"/>
      <c r="AC32" s="179"/>
      <c r="AD32" s="178"/>
      <c r="AE32" s="179"/>
    </row>
    <row r="33" spans="1:31" s="166" customFormat="1" ht="12.75" customHeight="1">
      <c r="A33" s="185"/>
      <c r="C33" s="180"/>
      <c r="D33" s="168"/>
      <c r="E33" s="180"/>
      <c r="F33" s="168"/>
      <c r="G33" s="180"/>
      <c r="H33" s="168"/>
      <c r="I33" s="180"/>
      <c r="J33" s="168"/>
      <c r="K33" s="180"/>
      <c r="L33" s="168"/>
      <c r="M33" s="180"/>
      <c r="N33" s="168"/>
      <c r="O33" s="180"/>
      <c r="P33" s="168"/>
      <c r="Q33" s="180"/>
      <c r="R33" s="168"/>
      <c r="S33" s="180"/>
      <c r="T33" s="168"/>
      <c r="U33" s="180"/>
      <c r="V33" s="168"/>
      <c r="W33" s="180"/>
      <c r="X33" s="168"/>
      <c r="Y33" s="180"/>
      <c r="Z33" s="168"/>
      <c r="AA33" s="168"/>
      <c r="AB33" s="169"/>
      <c r="AC33" s="168"/>
      <c r="AD33" s="169"/>
      <c r="AE33" s="168"/>
    </row>
    <row r="34" spans="2:31" s="189" customFormat="1" ht="12.75" customHeight="1">
      <c r="B34" s="189" t="s">
        <v>193</v>
      </c>
      <c r="D34" s="190">
        <f>SUM(D18:D31)</f>
        <v>583.572856443553</v>
      </c>
      <c r="F34" s="190">
        <f>SUM(F18:F31)</f>
        <v>583.572856443553</v>
      </c>
      <c r="H34" s="190">
        <f>SUM(H18:H31)</f>
        <v>583.572856443553</v>
      </c>
      <c r="J34" s="190">
        <f>SUM(J18:J31)</f>
        <v>583.572856443553</v>
      </c>
      <c r="L34" s="190">
        <f>SUM(L18:L31)</f>
        <v>583.572856443553</v>
      </c>
      <c r="N34" s="190">
        <f>SUM(N18:N31)</f>
        <v>583.572856443553</v>
      </c>
      <c r="P34" s="190">
        <f>SUM(P18:P31)</f>
        <v>583.572856443553</v>
      </c>
      <c r="R34" s="190">
        <f>SUM(R18:R31)</f>
        <v>583.572856443553</v>
      </c>
      <c r="T34" s="190">
        <f>SUM(T18:T31)</f>
        <v>583.572856443553</v>
      </c>
      <c r="V34" s="190">
        <f>SUM(V18:V31)</f>
        <v>583.572856443553</v>
      </c>
      <c r="X34" s="190">
        <f>SUM(X18:X31)</f>
        <v>583.572856443553</v>
      </c>
      <c r="Z34" s="190">
        <f>SUM(Z18:Z31)</f>
        <v>583.572856443553</v>
      </c>
      <c r="AA34" s="190">
        <f>SUM(A34:Z34)</f>
        <v>7002.874277322636</v>
      </c>
      <c r="AC34" s="190">
        <f>'40 Year Breakdown'!D43</f>
        <v>7002.874277322635</v>
      </c>
      <c r="AE34" s="190"/>
    </row>
    <row r="35" spans="1:31" s="166" customFormat="1" ht="12.75" customHeight="1">
      <c r="A35" s="180"/>
      <c r="C35" s="180"/>
      <c r="D35" s="168"/>
      <c r="E35" s="180"/>
      <c r="F35" s="168"/>
      <c r="G35" s="180"/>
      <c r="H35" s="168"/>
      <c r="I35" s="180"/>
      <c r="J35" s="168"/>
      <c r="K35" s="180"/>
      <c r="L35" s="168"/>
      <c r="M35" s="180"/>
      <c r="N35" s="168"/>
      <c r="O35" s="180"/>
      <c r="P35" s="168"/>
      <c r="Q35" s="180"/>
      <c r="R35" s="168"/>
      <c r="S35" s="180"/>
      <c r="T35" s="168"/>
      <c r="U35" s="180"/>
      <c r="V35" s="168"/>
      <c r="W35" s="180"/>
      <c r="X35" s="168"/>
      <c r="Y35" s="180"/>
      <c r="Z35" s="168"/>
      <c r="AA35" s="168"/>
      <c r="AB35" s="169"/>
      <c r="AC35" s="168"/>
      <c r="AD35" s="169"/>
      <c r="AE35" s="168"/>
    </row>
    <row r="36" spans="2:31" s="191" customFormat="1" ht="12.75" customHeight="1">
      <c r="B36" s="191" t="s">
        <v>194</v>
      </c>
      <c r="D36" s="192">
        <f>SUM(D15-D34)</f>
        <v>100416.42714355644</v>
      </c>
      <c r="F36" s="192">
        <f>SUM(F15-F34)</f>
        <v>-583.572856443553</v>
      </c>
      <c r="H36" s="192">
        <f>SUM(H15-H34)</f>
        <v>-583.572856443553</v>
      </c>
      <c r="J36" s="192">
        <f>SUM(J15-J34)</f>
        <v>-583.572856443553</v>
      </c>
      <c r="L36" s="192">
        <f>SUM(L15-L34)</f>
        <v>-583.572856443553</v>
      </c>
      <c r="N36" s="192">
        <f>SUM(N15-N34)</f>
        <v>-583.572856443553</v>
      </c>
      <c r="P36" s="192">
        <f>SUM(P15-P34)</f>
        <v>-583.572856443553</v>
      </c>
      <c r="R36" s="192">
        <f>SUM(R15-R34)</f>
        <v>-583.572856443553</v>
      </c>
      <c r="T36" s="192">
        <f>SUM(T15-T34)</f>
        <v>-583.572856443553</v>
      </c>
      <c r="V36" s="192">
        <f>SUM(V15-V34)</f>
        <v>-583.572856443553</v>
      </c>
      <c r="X36" s="192">
        <f>SUM(X15-X34)</f>
        <v>-583.572856443553</v>
      </c>
      <c r="Z36" s="192">
        <f>SUM(Z15-Z34)</f>
        <v>-583.572856443553</v>
      </c>
      <c r="AA36" s="192">
        <f>SUM(A36:Z36)</f>
        <v>93997.12572267733</v>
      </c>
      <c r="AC36" s="192">
        <f>'40 Year Breakdown'!D45</f>
        <v>93997.12572267736</v>
      </c>
      <c r="AE36" s="192"/>
    </row>
    <row r="37" spans="4:31" s="193" customFormat="1" ht="12.75" customHeight="1">
      <c r="D37" s="168"/>
      <c r="F37" s="168"/>
      <c r="H37" s="168"/>
      <c r="J37" s="168"/>
      <c r="L37" s="168"/>
      <c r="N37" s="168"/>
      <c r="P37" s="168"/>
      <c r="R37" s="168"/>
      <c r="T37" s="168"/>
      <c r="V37" s="168"/>
      <c r="X37" s="168"/>
      <c r="Z37" s="168"/>
      <c r="AA37" s="168"/>
      <c r="AC37" s="168"/>
      <c r="AE37" s="168"/>
    </row>
    <row r="38" spans="2:31" s="194" customFormat="1" ht="12.75" customHeight="1">
      <c r="B38" s="194" t="s">
        <v>195</v>
      </c>
      <c r="D38" s="195">
        <f>D36</f>
        <v>100416.42714355644</v>
      </c>
      <c r="F38" s="195">
        <f>(D38+F36)</f>
        <v>99832.85428711289</v>
      </c>
      <c r="H38" s="195">
        <f>(F38+H36)</f>
        <v>99249.28143066933</v>
      </c>
      <c r="J38" s="195">
        <f>(H38+J36)</f>
        <v>98665.70857422578</v>
      </c>
      <c r="L38" s="195">
        <f>(J38+L36)</f>
        <v>98082.13571778222</v>
      </c>
      <c r="N38" s="195">
        <f>(L38+N36)</f>
        <v>97498.56286133867</v>
      </c>
      <c r="P38" s="195">
        <f>(N38+P36)</f>
        <v>96914.99000489511</v>
      </c>
      <c r="R38" s="195">
        <f>(P38+R36)</f>
        <v>96331.41714845155</v>
      </c>
      <c r="T38" s="195">
        <f>(R38+T36)</f>
        <v>95747.844292008</v>
      </c>
      <c r="V38" s="195">
        <f>(T38+V36)</f>
        <v>95164.27143556444</v>
      </c>
      <c r="X38" s="195">
        <f>(V38+X36)</f>
        <v>94580.69857912089</v>
      </c>
      <c r="Z38" s="195">
        <f>(X38+Z36)</f>
        <v>93997.12572267733</v>
      </c>
      <c r="AA38" s="195"/>
      <c r="AC38" s="195">
        <f>'40 Year Breakdown'!D50</f>
        <v>92997.12572267736</v>
      </c>
      <c r="AE38" s="195"/>
    </row>
    <row r="39" spans="1:31" s="166" customFormat="1" ht="12.75" customHeight="1">
      <c r="A39" s="161"/>
      <c r="D39" s="168"/>
      <c r="F39" s="168"/>
      <c r="G39" s="161"/>
      <c r="H39" s="168"/>
      <c r="I39" s="161"/>
      <c r="J39" s="168"/>
      <c r="K39" s="161"/>
      <c r="L39" s="162"/>
      <c r="M39" s="161"/>
      <c r="N39" s="168"/>
      <c r="O39" s="161"/>
      <c r="P39" s="162"/>
      <c r="Q39" s="161"/>
      <c r="R39" s="162"/>
      <c r="S39" s="161"/>
      <c r="T39" s="162"/>
      <c r="U39" s="161"/>
      <c r="V39" s="162"/>
      <c r="W39" s="161"/>
      <c r="X39" s="162"/>
      <c r="Y39" s="161"/>
      <c r="Z39" s="162"/>
      <c r="AA39" s="162"/>
      <c r="AB39" s="163"/>
      <c r="AC39" s="162"/>
      <c r="AD39" s="163"/>
      <c r="AE39" s="162"/>
    </row>
    <row r="40" spans="1:31" s="166" customFormat="1" ht="12.75" customHeight="1">
      <c r="A40" s="161"/>
      <c r="D40" s="168"/>
      <c r="F40" s="168"/>
      <c r="H40" s="168"/>
      <c r="I40" s="161"/>
      <c r="J40" s="168"/>
      <c r="K40" s="161"/>
      <c r="L40" s="168"/>
      <c r="M40" s="161"/>
      <c r="N40" s="168"/>
      <c r="O40" s="161"/>
      <c r="P40" s="168"/>
      <c r="Q40" s="161"/>
      <c r="R40" s="168"/>
      <c r="S40" s="161"/>
      <c r="T40" s="168"/>
      <c r="U40" s="161"/>
      <c r="V40" s="168"/>
      <c r="W40" s="161"/>
      <c r="X40" s="168"/>
      <c r="Y40" s="161"/>
      <c r="Z40" s="168"/>
      <c r="AA40" s="162"/>
      <c r="AB40" s="163"/>
      <c r="AC40" s="162"/>
      <c r="AD40" s="163"/>
      <c r="AE40" s="162"/>
    </row>
    <row r="41" spans="1:31" s="166" customFormat="1" ht="12.75" customHeight="1">
      <c r="A41" s="161"/>
      <c r="D41" s="168"/>
      <c r="F41" s="168"/>
      <c r="H41" s="168"/>
      <c r="J41" s="168"/>
      <c r="K41" s="161"/>
      <c r="L41" s="168"/>
      <c r="M41" s="161"/>
      <c r="N41" s="168"/>
      <c r="O41" s="161"/>
      <c r="P41" s="168"/>
      <c r="Q41" s="161"/>
      <c r="R41" s="168"/>
      <c r="S41" s="161"/>
      <c r="T41" s="168"/>
      <c r="U41" s="161"/>
      <c r="V41" s="168"/>
      <c r="W41" s="161"/>
      <c r="X41" s="168"/>
      <c r="Y41" s="161"/>
      <c r="Z41" s="168"/>
      <c r="AA41" s="162"/>
      <c r="AB41" s="163"/>
      <c r="AC41" s="162"/>
      <c r="AD41" s="163"/>
      <c r="AE41" s="162"/>
    </row>
    <row r="42" spans="1:31" s="166" customFormat="1" ht="12.75" customHeight="1">
      <c r="A42" s="161"/>
      <c r="D42" s="168"/>
      <c r="F42" s="168"/>
      <c r="H42" s="168"/>
      <c r="J42" s="168"/>
      <c r="K42" s="161"/>
      <c r="L42" s="168"/>
      <c r="M42" s="161"/>
      <c r="N42" s="168"/>
      <c r="O42" s="161"/>
      <c r="P42" s="168"/>
      <c r="R42" s="168"/>
      <c r="S42" s="161"/>
      <c r="T42" s="168"/>
      <c r="U42" s="161"/>
      <c r="V42" s="168"/>
      <c r="W42" s="161"/>
      <c r="X42" s="168"/>
      <c r="Y42" s="161"/>
      <c r="Z42" s="168"/>
      <c r="AA42" s="162"/>
      <c r="AB42" s="163"/>
      <c r="AC42" s="162"/>
      <c r="AD42" s="163"/>
      <c r="AE42" s="162"/>
    </row>
    <row r="43" spans="11:25" ht="12.75" customHeight="1">
      <c r="K43" s="150"/>
      <c r="U43" s="150"/>
      <c r="W43" s="150"/>
      <c r="Y43" s="150"/>
    </row>
    <row r="44" spans="2:25" ht="12.75" customHeight="1">
      <c r="B44" s="151" t="s">
        <v>196</v>
      </c>
      <c r="K44" s="150"/>
      <c r="U44" s="150"/>
      <c r="W44" s="150"/>
      <c r="Y44" s="150"/>
    </row>
  </sheetData>
  <sheetProtection sheet="1"/>
  <mergeCells count="12">
    <mergeCell ref="O3:P3"/>
    <mergeCell ref="Q3:R3"/>
    <mergeCell ref="S3:T3"/>
    <mergeCell ref="U3:V3"/>
    <mergeCell ref="W3:X3"/>
    <mergeCell ref="Y3:Z3"/>
    <mergeCell ref="C3:D3"/>
    <mergeCell ref="E3:F3"/>
    <mergeCell ref="G3:H3"/>
    <mergeCell ref="I3:J3"/>
    <mergeCell ref="K3:L3"/>
    <mergeCell ref="M3:N3"/>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M74"/>
  <sheetViews>
    <sheetView tabSelected="1" zoomScalePageLayoutView="0" workbookViewId="0" topLeftCell="A1">
      <selection activeCell="E7" sqref="E7"/>
    </sheetView>
  </sheetViews>
  <sheetFormatPr defaultColWidth="12.140625" defaultRowHeight="12.75" customHeight="1"/>
  <cols>
    <col min="1" max="1" width="3.00390625" style="37" customWidth="1"/>
    <col min="2" max="2" width="19.7109375" style="37" customWidth="1"/>
    <col min="3" max="3" width="32.421875" style="37" customWidth="1"/>
    <col min="4" max="4" width="15.57421875" style="37" customWidth="1"/>
    <col min="5" max="10" width="11.7109375" style="37" customWidth="1"/>
    <col min="11" max="11" width="12.57421875" style="37" customWidth="1"/>
    <col min="12" max="12" width="11.7109375" style="37" customWidth="1"/>
    <col min="13" max="13" width="12.57421875" style="37" customWidth="1"/>
    <col min="14" max="43" width="11.7109375" style="37" customWidth="1"/>
    <col min="44" max="44" width="5.8515625" style="37" customWidth="1"/>
    <col min="45" max="45" width="13.28125" style="37" customWidth="1"/>
    <col min="46" max="16384" width="12.140625" style="37" customWidth="1"/>
  </cols>
  <sheetData>
    <row r="1" spans="2:11" ht="24.75" customHeight="1">
      <c r="B1" s="555" t="s">
        <v>197</v>
      </c>
      <c r="C1" s="555"/>
      <c r="I1" s="54"/>
      <c r="K1" s="36"/>
    </row>
    <row r="2" spans="3:18" ht="12.75" customHeight="1">
      <c r="C2" s="56"/>
      <c r="D2" s="56"/>
      <c r="E2" s="56"/>
      <c r="F2" s="56"/>
      <c r="H2" s="56"/>
      <c r="I2" s="71"/>
      <c r="J2" s="56"/>
      <c r="K2" s="56"/>
      <c r="L2" s="56"/>
      <c r="M2" s="56"/>
      <c r="N2" s="56"/>
      <c r="O2" s="56"/>
      <c r="P2" s="56"/>
      <c r="Q2" s="56"/>
      <c r="R2" s="56"/>
    </row>
    <row r="3" spans="2:18" ht="15" customHeight="1">
      <c r="B3" s="196" t="s">
        <v>198</v>
      </c>
      <c r="C3" s="112">
        <v>0.03</v>
      </c>
      <c r="D3" s="56"/>
      <c r="E3" s="114" t="s">
        <v>64</v>
      </c>
      <c r="F3" s="108">
        <f>IF((Loans!G8+Loans!G9+Loans!G10+Loans!G11)&gt;(0.9*'Inc &amp; Exp'!G64),1.2*((Loans!G8+Loans!G9+Loans!G10+Loans!G11)-(0.9*'Inc &amp; Exp'!G64)),0)</f>
        <v>120000</v>
      </c>
      <c r="G3" s="118" t="str">
        <f>IF(F3&gt;0,"YES!","NO")</f>
        <v>YES!</v>
      </c>
      <c r="H3" s="56"/>
      <c r="I3" s="71"/>
      <c r="J3" s="56"/>
      <c r="K3" s="56"/>
      <c r="L3" s="56"/>
      <c r="M3" s="56"/>
      <c r="N3" s="56"/>
      <c r="O3" s="56"/>
      <c r="P3" s="56"/>
      <c r="Q3" s="56"/>
      <c r="R3" s="56"/>
    </row>
    <row r="4" spans="2:18" ht="12.75" customHeight="1">
      <c r="B4" s="54"/>
      <c r="C4" s="56"/>
      <c r="D4" s="56"/>
      <c r="E4" s="56"/>
      <c r="F4" s="56"/>
      <c r="G4" s="56"/>
      <c r="H4" s="56"/>
      <c r="I4" s="71"/>
      <c r="J4" s="56"/>
      <c r="K4" s="56"/>
      <c r="L4" s="56"/>
      <c r="M4" s="56"/>
      <c r="N4" s="56"/>
      <c r="O4" s="56"/>
      <c r="P4" s="56"/>
      <c r="Q4" s="56"/>
      <c r="R4" s="56"/>
    </row>
    <row r="5" spans="2:18" ht="15" customHeight="1">
      <c r="B5" s="114" t="s">
        <v>199</v>
      </c>
      <c r="C5" s="112">
        <v>0</v>
      </c>
      <c r="D5" s="56"/>
      <c r="E5" s="56"/>
      <c r="F5" s="56"/>
      <c r="G5" s="56"/>
      <c r="H5" s="56"/>
      <c r="I5" s="71"/>
      <c r="J5" s="56"/>
      <c r="K5" s="56"/>
      <c r="L5" s="56"/>
      <c r="M5" s="56"/>
      <c r="N5" s="56"/>
      <c r="O5" s="56"/>
      <c r="P5" s="56"/>
      <c r="Q5" s="56"/>
      <c r="R5" s="56"/>
    </row>
    <row r="7" spans="2:43" s="197" customFormat="1" ht="13.5" customHeight="1">
      <c r="B7" s="556" t="s">
        <v>200</v>
      </c>
      <c r="C7" s="198" t="s">
        <v>201</v>
      </c>
      <c r="D7" s="199"/>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row>
    <row r="8" spans="2:43" s="197" customFormat="1" ht="13.5" customHeight="1">
      <c r="B8" s="556"/>
      <c r="C8" s="198" t="s">
        <v>202</v>
      </c>
      <c r="D8" s="201">
        <f>Loans!H8</f>
        <v>0.0575</v>
      </c>
      <c r="E8" s="202">
        <f aca="true" t="shared" si="0" ref="E8:AQ8">$D$8+E9</f>
        <v>0.0575</v>
      </c>
      <c r="F8" s="202">
        <f t="shared" si="0"/>
        <v>0.0575</v>
      </c>
      <c r="G8" s="202">
        <f t="shared" si="0"/>
        <v>0.0575</v>
      </c>
      <c r="H8" s="202">
        <f t="shared" si="0"/>
        <v>0.0575</v>
      </c>
      <c r="I8" s="202">
        <f t="shared" si="0"/>
        <v>0.0575</v>
      </c>
      <c r="J8" s="202">
        <f t="shared" si="0"/>
        <v>0.0575</v>
      </c>
      <c r="K8" s="202">
        <f t="shared" si="0"/>
        <v>0.0575</v>
      </c>
      <c r="L8" s="202">
        <f t="shared" si="0"/>
        <v>0.0575</v>
      </c>
      <c r="M8" s="202">
        <f t="shared" si="0"/>
        <v>0.0575</v>
      </c>
      <c r="N8" s="202">
        <f t="shared" si="0"/>
        <v>0.0575</v>
      </c>
      <c r="O8" s="202">
        <f t="shared" si="0"/>
        <v>0.0575</v>
      </c>
      <c r="P8" s="202">
        <f t="shared" si="0"/>
        <v>0.0575</v>
      </c>
      <c r="Q8" s="202">
        <f t="shared" si="0"/>
        <v>0.0575</v>
      </c>
      <c r="R8" s="202">
        <f t="shared" si="0"/>
        <v>0.0575</v>
      </c>
      <c r="S8" s="202">
        <f t="shared" si="0"/>
        <v>0.0575</v>
      </c>
      <c r="T8" s="202">
        <f t="shared" si="0"/>
        <v>0.0575</v>
      </c>
      <c r="U8" s="202">
        <f t="shared" si="0"/>
        <v>0.0575</v>
      </c>
      <c r="V8" s="202">
        <f t="shared" si="0"/>
        <v>0.0575</v>
      </c>
      <c r="W8" s="202">
        <f t="shared" si="0"/>
        <v>0.0575</v>
      </c>
      <c r="X8" s="202">
        <f t="shared" si="0"/>
        <v>0.0575</v>
      </c>
      <c r="Y8" s="202">
        <f t="shared" si="0"/>
        <v>0.0575</v>
      </c>
      <c r="Z8" s="202">
        <f t="shared" si="0"/>
        <v>0.0575</v>
      </c>
      <c r="AA8" s="202">
        <f t="shared" si="0"/>
        <v>0.0575</v>
      </c>
      <c r="AB8" s="202">
        <f t="shared" si="0"/>
        <v>0.0575</v>
      </c>
      <c r="AC8" s="202">
        <f t="shared" si="0"/>
        <v>0.0575</v>
      </c>
      <c r="AD8" s="202">
        <f t="shared" si="0"/>
        <v>0.0575</v>
      </c>
      <c r="AE8" s="202">
        <f t="shared" si="0"/>
        <v>0.0575</v>
      </c>
      <c r="AF8" s="202">
        <f t="shared" si="0"/>
        <v>0.0575</v>
      </c>
      <c r="AG8" s="202">
        <f t="shared" si="0"/>
        <v>0.0575</v>
      </c>
      <c r="AH8" s="202">
        <f t="shared" si="0"/>
        <v>0.0575</v>
      </c>
      <c r="AI8" s="202">
        <f t="shared" si="0"/>
        <v>0.0575</v>
      </c>
      <c r="AJ8" s="202">
        <f t="shared" si="0"/>
        <v>0.0575</v>
      </c>
      <c r="AK8" s="202">
        <f t="shared" si="0"/>
        <v>0.0575</v>
      </c>
      <c r="AL8" s="202">
        <f t="shared" si="0"/>
        <v>0.0575</v>
      </c>
      <c r="AM8" s="202">
        <f t="shared" si="0"/>
        <v>0.0575</v>
      </c>
      <c r="AN8" s="202">
        <f t="shared" si="0"/>
        <v>0.0575</v>
      </c>
      <c r="AO8" s="202">
        <f t="shared" si="0"/>
        <v>0.0575</v>
      </c>
      <c r="AP8" s="202">
        <f t="shared" si="0"/>
        <v>0.0575</v>
      </c>
      <c r="AQ8" s="202">
        <f t="shared" si="0"/>
        <v>0.0575</v>
      </c>
    </row>
    <row r="9" spans="2:43" s="197" customFormat="1" ht="12.75" customHeight="1">
      <c r="B9" s="556"/>
      <c r="C9" s="198" t="s">
        <v>203</v>
      </c>
      <c r="D9" s="203">
        <f>D7</f>
        <v>0</v>
      </c>
      <c r="E9" s="204">
        <f aca="true" t="shared" si="1" ref="E9:AQ9">D9+E7</f>
        <v>0</v>
      </c>
      <c r="F9" s="204">
        <f t="shared" si="1"/>
        <v>0</v>
      </c>
      <c r="G9" s="204">
        <f t="shared" si="1"/>
        <v>0</v>
      </c>
      <c r="H9" s="204">
        <f t="shared" si="1"/>
        <v>0</v>
      </c>
      <c r="I9" s="204">
        <f t="shared" si="1"/>
        <v>0</v>
      </c>
      <c r="J9" s="204">
        <f t="shared" si="1"/>
        <v>0</v>
      </c>
      <c r="K9" s="204">
        <f t="shared" si="1"/>
        <v>0</v>
      </c>
      <c r="L9" s="204">
        <f t="shared" si="1"/>
        <v>0</v>
      </c>
      <c r="M9" s="204">
        <f t="shared" si="1"/>
        <v>0</v>
      </c>
      <c r="N9" s="204">
        <f t="shared" si="1"/>
        <v>0</v>
      </c>
      <c r="O9" s="204">
        <f t="shared" si="1"/>
        <v>0</v>
      </c>
      <c r="P9" s="204">
        <f t="shared" si="1"/>
        <v>0</v>
      </c>
      <c r="Q9" s="204">
        <f t="shared" si="1"/>
        <v>0</v>
      </c>
      <c r="R9" s="204">
        <f t="shared" si="1"/>
        <v>0</v>
      </c>
      <c r="S9" s="204">
        <f t="shared" si="1"/>
        <v>0</v>
      </c>
      <c r="T9" s="204">
        <f t="shared" si="1"/>
        <v>0</v>
      </c>
      <c r="U9" s="204">
        <f t="shared" si="1"/>
        <v>0</v>
      </c>
      <c r="V9" s="204">
        <f t="shared" si="1"/>
        <v>0</v>
      </c>
      <c r="W9" s="204">
        <f t="shared" si="1"/>
        <v>0</v>
      </c>
      <c r="X9" s="204">
        <f t="shared" si="1"/>
        <v>0</v>
      </c>
      <c r="Y9" s="204">
        <f t="shared" si="1"/>
        <v>0</v>
      </c>
      <c r="Z9" s="204">
        <f t="shared" si="1"/>
        <v>0</v>
      </c>
      <c r="AA9" s="204">
        <f t="shared" si="1"/>
        <v>0</v>
      </c>
      <c r="AB9" s="204">
        <f t="shared" si="1"/>
        <v>0</v>
      </c>
      <c r="AC9" s="204">
        <f t="shared" si="1"/>
        <v>0</v>
      </c>
      <c r="AD9" s="204">
        <f t="shared" si="1"/>
        <v>0</v>
      </c>
      <c r="AE9" s="204">
        <f t="shared" si="1"/>
        <v>0</v>
      </c>
      <c r="AF9" s="204">
        <f t="shared" si="1"/>
        <v>0</v>
      </c>
      <c r="AG9" s="204">
        <f t="shared" si="1"/>
        <v>0</v>
      </c>
      <c r="AH9" s="204">
        <f t="shared" si="1"/>
        <v>0</v>
      </c>
      <c r="AI9" s="204">
        <f t="shared" si="1"/>
        <v>0</v>
      </c>
      <c r="AJ9" s="204">
        <f t="shared" si="1"/>
        <v>0</v>
      </c>
      <c r="AK9" s="204">
        <f t="shared" si="1"/>
        <v>0</v>
      </c>
      <c r="AL9" s="204">
        <f t="shared" si="1"/>
        <v>0</v>
      </c>
      <c r="AM9" s="204">
        <f t="shared" si="1"/>
        <v>0</v>
      </c>
      <c r="AN9" s="204">
        <f t="shared" si="1"/>
        <v>0</v>
      </c>
      <c r="AO9" s="204">
        <f t="shared" si="1"/>
        <v>0</v>
      </c>
      <c r="AP9" s="204">
        <f t="shared" si="1"/>
        <v>0</v>
      </c>
      <c r="AQ9" s="204">
        <f t="shared" si="1"/>
        <v>0</v>
      </c>
    </row>
    <row r="10" spans="2:43" ht="15" customHeight="1">
      <c r="B10" s="556"/>
      <c r="C10" s="205" t="s">
        <v>204</v>
      </c>
      <c r="D10" s="1"/>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row>
    <row r="11" spans="2:43" ht="12.75" customHeight="1">
      <c r="B11" s="556"/>
      <c r="C11" s="207" t="s">
        <v>205</v>
      </c>
      <c r="D11" s="198">
        <f>'Inc &amp; Exp'!F25</f>
        <v>0.1</v>
      </c>
      <c r="E11" s="198">
        <f aca="true" t="shared" si="2" ref="E11:AQ11">D11+E10</f>
        <v>0.1</v>
      </c>
      <c r="F11" s="198">
        <f t="shared" si="2"/>
        <v>0.1</v>
      </c>
      <c r="G11" s="198">
        <f t="shared" si="2"/>
        <v>0.1</v>
      </c>
      <c r="H11" s="198">
        <f t="shared" si="2"/>
        <v>0.1</v>
      </c>
      <c r="I11" s="198">
        <f t="shared" si="2"/>
        <v>0.1</v>
      </c>
      <c r="J11" s="198">
        <f t="shared" si="2"/>
        <v>0.1</v>
      </c>
      <c r="K11" s="198">
        <f t="shared" si="2"/>
        <v>0.1</v>
      </c>
      <c r="L11" s="198">
        <f t="shared" si="2"/>
        <v>0.1</v>
      </c>
      <c r="M11" s="198">
        <f t="shared" si="2"/>
        <v>0.1</v>
      </c>
      <c r="N11" s="198">
        <f t="shared" si="2"/>
        <v>0.1</v>
      </c>
      <c r="O11" s="198">
        <f t="shared" si="2"/>
        <v>0.1</v>
      </c>
      <c r="P11" s="198">
        <f t="shared" si="2"/>
        <v>0.1</v>
      </c>
      <c r="Q11" s="198">
        <f t="shared" si="2"/>
        <v>0.1</v>
      </c>
      <c r="R11" s="198">
        <f t="shared" si="2"/>
        <v>0.1</v>
      </c>
      <c r="S11" s="198">
        <f t="shared" si="2"/>
        <v>0.1</v>
      </c>
      <c r="T11" s="198">
        <f t="shared" si="2"/>
        <v>0.1</v>
      </c>
      <c r="U11" s="198">
        <f t="shared" si="2"/>
        <v>0.1</v>
      </c>
      <c r="V11" s="198">
        <f t="shared" si="2"/>
        <v>0.1</v>
      </c>
      <c r="W11" s="198">
        <f t="shared" si="2"/>
        <v>0.1</v>
      </c>
      <c r="X11" s="198">
        <f t="shared" si="2"/>
        <v>0.1</v>
      </c>
      <c r="Y11" s="198">
        <f t="shared" si="2"/>
        <v>0.1</v>
      </c>
      <c r="Z11" s="198">
        <f t="shared" si="2"/>
        <v>0.1</v>
      </c>
      <c r="AA11" s="198">
        <f t="shared" si="2"/>
        <v>0.1</v>
      </c>
      <c r="AB11" s="198">
        <f t="shared" si="2"/>
        <v>0.1</v>
      </c>
      <c r="AC11" s="198">
        <f t="shared" si="2"/>
        <v>0.1</v>
      </c>
      <c r="AD11" s="198">
        <f t="shared" si="2"/>
        <v>0.1</v>
      </c>
      <c r="AE11" s="198">
        <f t="shared" si="2"/>
        <v>0.1</v>
      </c>
      <c r="AF11" s="198">
        <f t="shared" si="2"/>
        <v>0.1</v>
      </c>
      <c r="AG11" s="198">
        <f t="shared" si="2"/>
        <v>0.1</v>
      </c>
      <c r="AH11" s="198">
        <f t="shared" si="2"/>
        <v>0.1</v>
      </c>
      <c r="AI11" s="198">
        <f t="shared" si="2"/>
        <v>0.1</v>
      </c>
      <c r="AJ11" s="198">
        <f t="shared" si="2"/>
        <v>0.1</v>
      </c>
      <c r="AK11" s="198">
        <f t="shared" si="2"/>
        <v>0.1</v>
      </c>
      <c r="AL11" s="198">
        <f t="shared" si="2"/>
        <v>0.1</v>
      </c>
      <c r="AM11" s="198">
        <f t="shared" si="2"/>
        <v>0.1</v>
      </c>
      <c r="AN11" s="198">
        <f t="shared" si="2"/>
        <v>0.1</v>
      </c>
      <c r="AO11" s="198">
        <f t="shared" si="2"/>
        <v>0.1</v>
      </c>
      <c r="AP11" s="198">
        <f t="shared" si="2"/>
        <v>0.1</v>
      </c>
      <c r="AQ11" s="198">
        <f t="shared" si="2"/>
        <v>0.1</v>
      </c>
    </row>
    <row r="12" spans="2:43" ht="15" customHeight="1">
      <c r="B12" s="556"/>
      <c r="C12" s="208" t="s">
        <v>206</v>
      </c>
      <c r="D12" s="209"/>
      <c r="E12" s="210"/>
      <c r="F12" s="210"/>
      <c r="G12" s="210"/>
      <c r="H12" s="210">
        <v>5</v>
      </c>
      <c r="I12" s="210"/>
      <c r="J12" s="210"/>
      <c r="K12" s="210"/>
      <c r="L12" s="210"/>
      <c r="M12" s="210">
        <v>5</v>
      </c>
      <c r="N12" s="210"/>
      <c r="O12" s="210"/>
      <c r="P12" s="210"/>
      <c r="Q12" s="210"/>
      <c r="R12" s="210">
        <v>5</v>
      </c>
      <c r="S12" s="210"/>
      <c r="T12" s="210"/>
      <c r="U12" s="210"/>
      <c r="V12" s="210"/>
      <c r="W12" s="210">
        <v>5</v>
      </c>
      <c r="X12" s="210"/>
      <c r="Y12" s="210"/>
      <c r="Z12" s="210"/>
      <c r="AA12" s="210"/>
      <c r="AB12" s="210">
        <v>5</v>
      </c>
      <c r="AC12" s="210"/>
      <c r="AD12" s="210"/>
      <c r="AE12" s="210"/>
      <c r="AF12" s="210"/>
      <c r="AG12" s="210">
        <v>5</v>
      </c>
      <c r="AH12" s="210"/>
      <c r="AI12" s="210"/>
      <c r="AJ12" s="210"/>
      <c r="AK12" s="210"/>
      <c r="AL12" s="210">
        <v>5</v>
      </c>
      <c r="AM12" s="210"/>
      <c r="AN12" s="210"/>
      <c r="AO12" s="210"/>
      <c r="AP12" s="210"/>
      <c r="AQ12" s="210">
        <v>5</v>
      </c>
    </row>
    <row r="13" spans="1:45" s="59" customFormat="1" ht="12.75" customHeight="1">
      <c r="A13" s="211"/>
      <c r="B13" s="556"/>
      <c r="C13" s="168" t="s">
        <v>207</v>
      </c>
      <c r="D13" s="168">
        <f>('Inc &amp; Exp'!E14*'Inc &amp; Exp'!F14+'Inc &amp; Exp'!E15*'Inc &amp; Exp'!F15+'Inc &amp; Exp'!E16*'Inc &amp; Exp'!F16+'Inc &amp; Exp'!E17*'Inc &amp; Exp'!F17)/'Inc &amp; Exp'!F18+'40 Year Breakdown'!D12</f>
        <v>0</v>
      </c>
      <c r="E13" s="168">
        <f aca="true" t="shared" si="3" ref="E13:AQ13">D13+E12</f>
        <v>0</v>
      </c>
      <c r="F13" s="168">
        <f t="shared" si="3"/>
        <v>0</v>
      </c>
      <c r="G13" s="168">
        <f t="shared" si="3"/>
        <v>0</v>
      </c>
      <c r="H13" s="168">
        <f t="shared" si="3"/>
        <v>5</v>
      </c>
      <c r="I13" s="168">
        <f t="shared" si="3"/>
        <v>5</v>
      </c>
      <c r="J13" s="168">
        <f t="shared" si="3"/>
        <v>5</v>
      </c>
      <c r="K13" s="168">
        <f t="shared" si="3"/>
        <v>5</v>
      </c>
      <c r="L13" s="168">
        <f t="shared" si="3"/>
        <v>5</v>
      </c>
      <c r="M13" s="168">
        <f t="shared" si="3"/>
        <v>10</v>
      </c>
      <c r="N13" s="168">
        <f t="shared" si="3"/>
        <v>10</v>
      </c>
      <c r="O13" s="168">
        <f t="shared" si="3"/>
        <v>10</v>
      </c>
      <c r="P13" s="168">
        <f t="shared" si="3"/>
        <v>10</v>
      </c>
      <c r="Q13" s="168">
        <f t="shared" si="3"/>
        <v>10</v>
      </c>
      <c r="R13" s="168">
        <f t="shared" si="3"/>
        <v>15</v>
      </c>
      <c r="S13" s="168">
        <f t="shared" si="3"/>
        <v>15</v>
      </c>
      <c r="T13" s="168">
        <f t="shared" si="3"/>
        <v>15</v>
      </c>
      <c r="U13" s="168">
        <f t="shared" si="3"/>
        <v>15</v>
      </c>
      <c r="V13" s="168">
        <f t="shared" si="3"/>
        <v>15</v>
      </c>
      <c r="W13" s="168">
        <f t="shared" si="3"/>
        <v>20</v>
      </c>
      <c r="X13" s="168">
        <f t="shared" si="3"/>
        <v>20</v>
      </c>
      <c r="Y13" s="168">
        <f t="shared" si="3"/>
        <v>20</v>
      </c>
      <c r="Z13" s="168">
        <f t="shared" si="3"/>
        <v>20</v>
      </c>
      <c r="AA13" s="168">
        <f t="shared" si="3"/>
        <v>20</v>
      </c>
      <c r="AB13" s="168">
        <f t="shared" si="3"/>
        <v>25</v>
      </c>
      <c r="AC13" s="168">
        <f t="shared" si="3"/>
        <v>25</v>
      </c>
      <c r="AD13" s="168">
        <f t="shared" si="3"/>
        <v>25</v>
      </c>
      <c r="AE13" s="168">
        <f t="shared" si="3"/>
        <v>25</v>
      </c>
      <c r="AF13" s="168">
        <f t="shared" si="3"/>
        <v>25</v>
      </c>
      <c r="AG13" s="168">
        <f t="shared" si="3"/>
        <v>30</v>
      </c>
      <c r="AH13" s="168">
        <f t="shared" si="3"/>
        <v>30</v>
      </c>
      <c r="AI13" s="168">
        <f t="shared" si="3"/>
        <v>30</v>
      </c>
      <c r="AJ13" s="168">
        <f t="shared" si="3"/>
        <v>30</v>
      </c>
      <c r="AK13" s="168">
        <f t="shared" si="3"/>
        <v>30</v>
      </c>
      <c r="AL13" s="168">
        <f t="shared" si="3"/>
        <v>35</v>
      </c>
      <c r="AM13" s="168">
        <f t="shared" si="3"/>
        <v>35</v>
      </c>
      <c r="AN13" s="168">
        <f t="shared" si="3"/>
        <v>35</v>
      </c>
      <c r="AO13" s="168">
        <f t="shared" si="3"/>
        <v>35</v>
      </c>
      <c r="AP13" s="168">
        <f t="shared" si="3"/>
        <v>35</v>
      </c>
      <c r="AQ13" s="168">
        <f t="shared" si="3"/>
        <v>40</v>
      </c>
      <c r="AS13" s="212" t="s">
        <v>208</v>
      </c>
    </row>
    <row r="14" spans="1:45" s="109" customFormat="1" ht="12.75" customHeight="1">
      <c r="A14" s="213"/>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S14" s="214"/>
    </row>
    <row r="15" spans="1:43" s="217" customFormat="1" ht="15.75" customHeight="1">
      <c r="A15" s="215"/>
      <c r="B15" s="216"/>
      <c r="C15" s="217" t="s">
        <v>98</v>
      </c>
      <c r="D15" s="217">
        <v>1</v>
      </c>
      <c r="E15" s="217">
        <v>2</v>
      </c>
      <c r="F15" s="217">
        <v>3</v>
      </c>
      <c r="G15" s="217">
        <v>4</v>
      </c>
      <c r="H15" s="217">
        <v>5</v>
      </c>
      <c r="I15" s="217">
        <v>6</v>
      </c>
      <c r="J15" s="217">
        <v>7</v>
      </c>
      <c r="K15" s="217">
        <v>8</v>
      </c>
      <c r="L15" s="217">
        <v>9</v>
      </c>
      <c r="M15" s="217">
        <v>10</v>
      </c>
      <c r="N15" s="217">
        <v>11</v>
      </c>
      <c r="O15" s="217">
        <v>12</v>
      </c>
      <c r="P15" s="217">
        <v>13</v>
      </c>
      <c r="Q15" s="217">
        <v>14</v>
      </c>
      <c r="R15" s="217">
        <v>15</v>
      </c>
      <c r="S15" s="217">
        <v>16</v>
      </c>
      <c r="T15" s="217">
        <v>17</v>
      </c>
      <c r="U15" s="217">
        <v>18</v>
      </c>
      <c r="V15" s="217">
        <v>19</v>
      </c>
      <c r="W15" s="217">
        <v>20</v>
      </c>
      <c r="X15" s="217">
        <v>21</v>
      </c>
      <c r="Y15" s="217">
        <v>22</v>
      </c>
      <c r="Z15" s="217">
        <v>23</v>
      </c>
      <c r="AA15" s="217">
        <v>24</v>
      </c>
      <c r="AB15" s="217">
        <v>25</v>
      </c>
      <c r="AC15" s="217">
        <v>26</v>
      </c>
      <c r="AD15" s="217">
        <v>27</v>
      </c>
      <c r="AE15" s="217">
        <v>28</v>
      </c>
      <c r="AF15" s="217">
        <v>29</v>
      </c>
      <c r="AG15" s="217">
        <v>30</v>
      </c>
      <c r="AH15" s="217">
        <f aca="true" t="shared" si="4" ref="AH15:AQ15">AG15+1</f>
        <v>31</v>
      </c>
      <c r="AI15" s="217">
        <f t="shared" si="4"/>
        <v>32</v>
      </c>
      <c r="AJ15" s="217">
        <f t="shared" si="4"/>
        <v>33</v>
      </c>
      <c r="AK15" s="217">
        <f t="shared" si="4"/>
        <v>34</v>
      </c>
      <c r="AL15" s="217">
        <f t="shared" si="4"/>
        <v>35</v>
      </c>
      <c r="AM15" s="217">
        <f t="shared" si="4"/>
        <v>36</v>
      </c>
      <c r="AN15" s="217">
        <f t="shared" si="4"/>
        <v>37</v>
      </c>
      <c r="AO15" s="217">
        <f t="shared" si="4"/>
        <v>38</v>
      </c>
      <c r="AP15" s="217">
        <f t="shared" si="4"/>
        <v>39</v>
      </c>
      <c r="AQ15" s="217">
        <f t="shared" si="4"/>
        <v>40</v>
      </c>
    </row>
    <row r="16" spans="1:2" s="220" customFormat="1" ht="14.25" customHeight="1">
      <c r="A16" s="218"/>
      <c r="B16" s="219" t="s">
        <v>160</v>
      </c>
    </row>
    <row r="17" spans="1:45" s="160" customFormat="1" ht="12.75" customHeight="1">
      <c r="A17" s="221"/>
      <c r="B17" s="222"/>
      <c r="C17" s="166" t="s">
        <v>127</v>
      </c>
      <c r="D17" s="169">
        <f>Loans!G82+Loans!S86</f>
        <v>1000</v>
      </c>
      <c r="E17" s="166">
        <f>Loans!T86</f>
        <v>0</v>
      </c>
      <c r="F17" s="166">
        <f>Loans!U86</f>
        <v>0</v>
      </c>
      <c r="G17" s="166">
        <f>Loans!V86</f>
        <v>0</v>
      </c>
      <c r="H17" s="166">
        <f>Loans!W86</f>
        <v>0</v>
      </c>
      <c r="I17" s="166">
        <f>Loans!X86</f>
        <v>0</v>
      </c>
      <c r="J17" s="166">
        <f>Loans!Y86</f>
        <v>0</v>
      </c>
      <c r="K17" s="166">
        <f>Loans!Z86</f>
        <v>0</v>
      </c>
      <c r="L17" s="166">
        <f>Loans!AA86</f>
        <v>0</v>
      </c>
      <c r="M17" s="166">
        <f>Loans!AB86</f>
        <v>0</v>
      </c>
      <c r="N17" s="166">
        <f>Loans!AC86</f>
        <v>0</v>
      </c>
      <c r="O17" s="166">
        <f>Loans!AD86</f>
        <v>0</v>
      </c>
      <c r="P17" s="166">
        <f>Loans!AE86</f>
        <v>0</v>
      </c>
      <c r="Q17" s="166">
        <f>Loans!AF86</f>
        <v>0</v>
      </c>
      <c r="R17" s="166">
        <f>Loans!AG86</f>
        <v>0</v>
      </c>
      <c r="S17" s="166">
        <f>Loans!AH86</f>
        <v>0</v>
      </c>
      <c r="T17" s="166">
        <f>Loans!AI86</f>
        <v>0</v>
      </c>
      <c r="U17" s="166">
        <f>Loans!AJ86</f>
        <v>0</v>
      </c>
      <c r="V17" s="166">
        <f>Loans!AK86</f>
        <v>0</v>
      </c>
      <c r="W17" s="166">
        <f>Loans!AL86</f>
        <v>0</v>
      </c>
      <c r="X17" s="166">
        <f>Loans!AM86</f>
        <v>0</v>
      </c>
      <c r="Y17" s="166">
        <f>Loans!AN86</f>
        <v>0</v>
      </c>
      <c r="Z17" s="166">
        <f>Loans!AO86</f>
        <v>0</v>
      </c>
      <c r="AA17" s="166">
        <f>Loans!AP86</f>
        <v>0</v>
      </c>
      <c r="AB17" s="166">
        <f>Loans!AQ86</f>
        <v>0</v>
      </c>
      <c r="AC17" s="166">
        <f>Loans!AR86</f>
        <v>0</v>
      </c>
      <c r="AD17" s="166">
        <f>Loans!AS86</f>
        <v>0</v>
      </c>
      <c r="AE17" s="166">
        <f>Loans!AT86</f>
        <v>0</v>
      </c>
      <c r="AF17" s="166">
        <f>Loans!AU86</f>
        <v>0</v>
      </c>
      <c r="AG17" s="166">
        <f>Loans!AV86</f>
        <v>0</v>
      </c>
      <c r="AH17" s="166">
        <f>Loans!AW86</f>
        <v>0</v>
      </c>
      <c r="AI17" s="166">
        <f>Loans!AX86</f>
        <v>0</v>
      </c>
      <c r="AJ17" s="166">
        <f>Loans!AY86</f>
        <v>0</v>
      </c>
      <c r="AK17" s="166">
        <f>Loans!AZ86</f>
        <v>0</v>
      </c>
      <c r="AL17" s="166">
        <f>Loans!BA86</f>
        <v>0</v>
      </c>
      <c r="AM17" s="166">
        <f>Loans!BB86</f>
        <v>0</v>
      </c>
      <c r="AN17" s="166">
        <f>Loans!BC86</f>
        <v>0</v>
      </c>
      <c r="AO17" s="166">
        <f>Loans!BD86</f>
        <v>0</v>
      </c>
      <c r="AP17" s="166">
        <f>Loans!BE86</f>
        <v>0</v>
      </c>
      <c r="AQ17" s="166">
        <f>Loans!BF86</f>
        <v>0</v>
      </c>
      <c r="AR17" s="166"/>
      <c r="AS17" s="169">
        <f>SUM(D17:AQ17)</f>
        <v>1000</v>
      </c>
    </row>
    <row r="18" spans="1:45" s="160" customFormat="1" ht="12.75" customHeight="1">
      <c r="A18" s="221"/>
      <c r="B18" s="222"/>
      <c r="C18" s="166" t="s">
        <v>209</v>
      </c>
      <c r="D18" s="169">
        <f>Loans!G12</f>
        <v>100000</v>
      </c>
      <c r="E18" s="223" t="s">
        <v>210</v>
      </c>
      <c r="F18" s="223" t="s">
        <v>210</v>
      </c>
      <c r="G18" s="223" t="s">
        <v>210</v>
      </c>
      <c r="H18" s="223" t="s">
        <v>210</v>
      </c>
      <c r="I18" s="223" t="s">
        <v>210</v>
      </c>
      <c r="J18" s="223" t="s">
        <v>210</v>
      </c>
      <c r="K18" s="223" t="s">
        <v>210</v>
      </c>
      <c r="L18" s="223" t="s">
        <v>210</v>
      </c>
      <c r="M18" s="223" t="s">
        <v>210</v>
      </c>
      <c r="N18" s="223" t="s">
        <v>210</v>
      </c>
      <c r="O18" s="223" t="s">
        <v>210</v>
      </c>
      <c r="P18" s="223" t="s">
        <v>210</v>
      </c>
      <c r="Q18" s="223" t="s">
        <v>210</v>
      </c>
      <c r="R18" s="223" t="s">
        <v>210</v>
      </c>
      <c r="S18" s="223" t="s">
        <v>210</v>
      </c>
      <c r="T18" s="223" t="s">
        <v>210</v>
      </c>
      <c r="U18" s="223" t="s">
        <v>210</v>
      </c>
      <c r="V18" s="223" t="s">
        <v>210</v>
      </c>
      <c r="W18" s="223" t="s">
        <v>210</v>
      </c>
      <c r="X18" s="223" t="s">
        <v>210</v>
      </c>
      <c r="Y18" s="223" t="s">
        <v>210</v>
      </c>
      <c r="Z18" s="223" t="s">
        <v>210</v>
      </c>
      <c r="AA18" s="223" t="s">
        <v>210</v>
      </c>
      <c r="AB18" s="223" t="s">
        <v>210</v>
      </c>
      <c r="AC18" s="223" t="s">
        <v>210</v>
      </c>
      <c r="AD18" s="223" t="s">
        <v>210</v>
      </c>
      <c r="AE18" s="223" t="s">
        <v>210</v>
      </c>
      <c r="AF18" s="223" t="s">
        <v>210</v>
      </c>
      <c r="AG18" s="223" t="s">
        <v>210</v>
      </c>
      <c r="AH18" s="223" t="s">
        <v>210</v>
      </c>
      <c r="AI18" s="223" t="s">
        <v>210</v>
      </c>
      <c r="AJ18" s="223" t="s">
        <v>210</v>
      </c>
      <c r="AK18" s="223" t="s">
        <v>210</v>
      </c>
      <c r="AL18" s="223" t="s">
        <v>210</v>
      </c>
      <c r="AM18" s="223" t="s">
        <v>210</v>
      </c>
      <c r="AN18" s="223" t="s">
        <v>210</v>
      </c>
      <c r="AO18" s="223" t="s">
        <v>210</v>
      </c>
      <c r="AP18" s="223" t="s">
        <v>210</v>
      </c>
      <c r="AQ18" s="223" t="s">
        <v>210</v>
      </c>
      <c r="AR18" s="169"/>
      <c r="AS18" s="169"/>
    </row>
    <row r="19" spans="1:45" s="160" customFormat="1" ht="15" customHeight="1">
      <c r="A19" s="221"/>
      <c r="B19" s="222"/>
      <c r="C19" s="166" t="s">
        <v>44</v>
      </c>
      <c r="D19" s="169">
        <f>'Inc &amp; Exp'!G52</f>
        <v>0</v>
      </c>
      <c r="E19" s="224"/>
      <c r="F19" s="225">
        <v>0</v>
      </c>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c r="AQ19" s="225">
        <v>0</v>
      </c>
      <c r="AR19" s="226"/>
      <c r="AS19" s="169">
        <f>SUM(D19:AQ19)</f>
        <v>0</v>
      </c>
    </row>
    <row r="20" spans="1:45" s="160" customFormat="1" ht="12.75" customHeight="1">
      <c r="A20" s="221"/>
      <c r="B20" s="222"/>
      <c r="C20" s="166" t="s">
        <v>211</v>
      </c>
      <c r="D20" s="169">
        <f>'Year One Breakdown '!AA12</f>
        <v>0</v>
      </c>
      <c r="E20" s="169">
        <f>'Inc &amp; Exp'!G21+(E12*'Inc &amp; Exp'!$F18*52.2)</f>
        <v>0</v>
      </c>
      <c r="F20" s="169">
        <f>E20+(F12*'Inc &amp; Exp'!$F18*52.2)</f>
        <v>0</v>
      </c>
      <c r="G20" s="169">
        <f>F20+(G12*'Inc &amp; Exp'!$F18*52.2)</f>
        <v>0</v>
      </c>
      <c r="H20" s="169">
        <f>G20+(H12*'Inc &amp; Exp'!$F18*52.2)</f>
        <v>261</v>
      </c>
      <c r="I20" s="169">
        <f>H20+(I12*'Inc &amp; Exp'!$F18*52.2)</f>
        <v>261</v>
      </c>
      <c r="J20" s="169">
        <f>I20+(J12*'Inc &amp; Exp'!$F18*52.2)</f>
        <v>261</v>
      </c>
      <c r="K20" s="169">
        <f>J20+(K12*'Inc &amp; Exp'!$F18*52.2)</f>
        <v>261</v>
      </c>
      <c r="L20" s="169">
        <f>K20+(L12*'Inc &amp; Exp'!$F18*52.2)</f>
        <v>261</v>
      </c>
      <c r="M20" s="169">
        <f>L20+(M12*'Inc &amp; Exp'!$F18*52.2)</f>
        <v>522</v>
      </c>
      <c r="N20" s="169">
        <f>M20+(N12*'Inc &amp; Exp'!$F18*52.2)</f>
        <v>522</v>
      </c>
      <c r="O20" s="169">
        <f>N20+(O12*'Inc &amp; Exp'!$F18*52.2)</f>
        <v>522</v>
      </c>
      <c r="P20" s="169">
        <f>O20+(P12*'Inc &amp; Exp'!$F18*52.2)</f>
        <v>522</v>
      </c>
      <c r="Q20" s="169">
        <f>P20+(Q12*'Inc &amp; Exp'!$F18*52.2)</f>
        <v>522</v>
      </c>
      <c r="R20" s="169">
        <f>Q20+(R12*'Inc &amp; Exp'!$F18*52.2)</f>
        <v>783</v>
      </c>
      <c r="S20" s="169">
        <f>R20+(S12*'Inc &amp; Exp'!$F18*52.2)</f>
        <v>783</v>
      </c>
      <c r="T20" s="169">
        <f>S20+(T12*'Inc &amp; Exp'!$F18*52.2)</f>
        <v>783</v>
      </c>
      <c r="U20" s="169">
        <f>T20+(U12*'Inc &amp; Exp'!$F18*52.2)</f>
        <v>783</v>
      </c>
      <c r="V20" s="169">
        <f>U20+(V12*'Inc &amp; Exp'!$F18*52.2)</f>
        <v>783</v>
      </c>
      <c r="W20" s="169">
        <f>V20+(W12*'Inc &amp; Exp'!$F18*52.2)</f>
        <v>1044</v>
      </c>
      <c r="X20" s="169">
        <f>W20+(X12*'Inc &amp; Exp'!$F18*52.2)</f>
        <v>1044</v>
      </c>
      <c r="Y20" s="169">
        <f>X20+(Y12*'Inc &amp; Exp'!$F18*52.2)</f>
        <v>1044</v>
      </c>
      <c r="Z20" s="169">
        <f>Y20+(Z12*'Inc &amp; Exp'!$F18*52.2)</f>
        <v>1044</v>
      </c>
      <c r="AA20" s="169">
        <f>Z20+(AA12*'Inc &amp; Exp'!$F18*52.2)</f>
        <v>1044</v>
      </c>
      <c r="AB20" s="169">
        <f>AA20+(AB12*'Inc &amp; Exp'!$F18*52.2)</f>
        <v>1305</v>
      </c>
      <c r="AC20" s="169">
        <f>AB20+(AC12*'Inc &amp; Exp'!$F18*52.2)</f>
        <v>1305</v>
      </c>
      <c r="AD20" s="169">
        <f>AC20+(AD12*'Inc &amp; Exp'!$F18*52.2)</f>
        <v>1305</v>
      </c>
      <c r="AE20" s="169">
        <f>AD20+(AE12*'Inc &amp; Exp'!$F18*52.2)</f>
        <v>1305</v>
      </c>
      <c r="AF20" s="169">
        <f>AE20+(AF12*'Inc &amp; Exp'!$F18*52.2)</f>
        <v>1305</v>
      </c>
      <c r="AG20" s="169">
        <f>AF20+(AG12*'Inc &amp; Exp'!$F18*52.2)</f>
        <v>1566</v>
      </c>
      <c r="AH20" s="169">
        <f>AG20+(AH12*'Inc &amp; Exp'!$F18*52.2)</f>
        <v>1566</v>
      </c>
      <c r="AI20" s="169">
        <f>AH20+(AI12*'Inc &amp; Exp'!$F18*52.2)</f>
        <v>1566</v>
      </c>
      <c r="AJ20" s="169">
        <f>AI20+(AJ12*'Inc &amp; Exp'!$F18*52.2)</f>
        <v>1566</v>
      </c>
      <c r="AK20" s="169">
        <f>AJ20+(AK12*'Inc &amp; Exp'!$F18*52.2)</f>
        <v>1566</v>
      </c>
      <c r="AL20" s="169">
        <f>AK20+(AL12*'Inc &amp; Exp'!$F18*52.2)</f>
        <v>1827</v>
      </c>
      <c r="AM20" s="169">
        <f>AL20+(AM12*'Inc &amp; Exp'!$F18*52.2)</f>
        <v>1827</v>
      </c>
      <c r="AN20" s="169">
        <f>AM20+(AN12*'Inc &amp; Exp'!$F18*52.2)</f>
        <v>1827</v>
      </c>
      <c r="AO20" s="169">
        <f>AN20+(AO12*'Inc &amp; Exp'!$F18*52.2)</f>
        <v>1827</v>
      </c>
      <c r="AP20" s="169">
        <f>AO20+(AP12*'Inc &amp; Exp'!$F18*52.2)</f>
        <v>1827</v>
      </c>
      <c r="AQ20" s="169">
        <f>AP20+(AQ12*'Inc &amp; Exp'!$F18*52.2)</f>
        <v>2088</v>
      </c>
      <c r="AR20" s="169"/>
      <c r="AS20" s="169">
        <f>SUM(D20:AQ20)</f>
        <v>38628</v>
      </c>
    </row>
    <row r="21" spans="1:45" s="160" customFormat="1" ht="12.75" customHeight="1">
      <c r="A21" s="221"/>
      <c r="B21" s="222"/>
      <c r="C21" s="166" t="s">
        <v>212</v>
      </c>
      <c r="D21" s="169">
        <v>0</v>
      </c>
      <c r="E21" s="169">
        <f aca="true" t="shared" si="5" ref="E21:AQ21">D50*$C5</f>
        <v>0</v>
      </c>
      <c r="F21" s="169">
        <f t="shared" si="5"/>
        <v>0</v>
      </c>
      <c r="G21" s="169">
        <f t="shared" si="5"/>
        <v>0</v>
      </c>
      <c r="H21" s="169">
        <f t="shared" si="5"/>
        <v>0</v>
      </c>
      <c r="I21" s="169">
        <f t="shared" si="5"/>
        <v>0</v>
      </c>
      <c r="J21" s="169">
        <f t="shared" si="5"/>
        <v>0</v>
      </c>
      <c r="K21" s="169">
        <f t="shared" si="5"/>
        <v>0</v>
      </c>
      <c r="L21" s="169">
        <f t="shared" si="5"/>
        <v>0</v>
      </c>
      <c r="M21" s="169">
        <f t="shared" si="5"/>
        <v>0</v>
      </c>
      <c r="N21" s="169">
        <f t="shared" si="5"/>
        <v>0</v>
      </c>
      <c r="O21" s="169">
        <f t="shared" si="5"/>
        <v>0</v>
      </c>
      <c r="P21" s="169">
        <f t="shared" si="5"/>
        <v>0</v>
      </c>
      <c r="Q21" s="169">
        <f t="shared" si="5"/>
        <v>0</v>
      </c>
      <c r="R21" s="169">
        <f t="shared" si="5"/>
        <v>0</v>
      </c>
      <c r="S21" s="169">
        <f t="shared" si="5"/>
        <v>0</v>
      </c>
      <c r="T21" s="169">
        <f t="shared" si="5"/>
        <v>0</v>
      </c>
      <c r="U21" s="169">
        <f t="shared" si="5"/>
        <v>0</v>
      </c>
      <c r="V21" s="169">
        <f t="shared" si="5"/>
        <v>0</v>
      </c>
      <c r="W21" s="169">
        <f t="shared" si="5"/>
        <v>0</v>
      </c>
      <c r="X21" s="169">
        <f t="shared" si="5"/>
        <v>0</v>
      </c>
      <c r="Y21" s="169">
        <f t="shared" si="5"/>
        <v>0</v>
      </c>
      <c r="Z21" s="169">
        <f t="shared" si="5"/>
        <v>0</v>
      </c>
      <c r="AA21" s="169">
        <f t="shared" si="5"/>
        <v>0</v>
      </c>
      <c r="AB21" s="169">
        <f t="shared" si="5"/>
        <v>0</v>
      </c>
      <c r="AC21" s="169">
        <f t="shared" si="5"/>
        <v>0</v>
      </c>
      <c r="AD21" s="169">
        <f t="shared" si="5"/>
        <v>0</v>
      </c>
      <c r="AE21" s="169">
        <f t="shared" si="5"/>
        <v>0</v>
      </c>
      <c r="AF21" s="169">
        <f t="shared" si="5"/>
        <v>0</v>
      </c>
      <c r="AG21" s="169">
        <f t="shared" si="5"/>
        <v>0</v>
      </c>
      <c r="AH21" s="169">
        <f t="shared" si="5"/>
        <v>0</v>
      </c>
      <c r="AI21" s="169">
        <f t="shared" si="5"/>
        <v>0</v>
      </c>
      <c r="AJ21" s="169">
        <f t="shared" si="5"/>
        <v>0</v>
      </c>
      <c r="AK21" s="169">
        <f t="shared" si="5"/>
        <v>0</v>
      </c>
      <c r="AL21" s="169">
        <f t="shared" si="5"/>
        <v>0</v>
      </c>
      <c r="AM21" s="169">
        <f t="shared" si="5"/>
        <v>0</v>
      </c>
      <c r="AN21" s="169">
        <f t="shared" si="5"/>
        <v>0</v>
      </c>
      <c r="AO21" s="169">
        <f t="shared" si="5"/>
        <v>0</v>
      </c>
      <c r="AP21" s="169">
        <f t="shared" si="5"/>
        <v>0</v>
      </c>
      <c r="AQ21" s="169">
        <f t="shared" si="5"/>
        <v>0</v>
      </c>
      <c r="AR21" s="169"/>
      <c r="AS21" s="169">
        <f>SUM(D21:AQ21)</f>
        <v>0</v>
      </c>
    </row>
    <row r="22" spans="1:45" s="160" customFormat="1" ht="12.75" customHeight="1">
      <c r="A22" s="221"/>
      <c r="B22" s="222"/>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row>
    <row r="23" spans="1:45" s="230" customFormat="1" ht="12.75" customHeight="1">
      <c r="A23" s="227"/>
      <c r="B23" s="228"/>
      <c r="C23" s="229" t="s">
        <v>213</v>
      </c>
      <c r="D23" s="158">
        <f aca="true" t="shared" si="6" ref="D23:AQ23">SUM(D17:D21)</f>
        <v>101000</v>
      </c>
      <c r="E23" s="158">
        <f t="shared" si="6"/>
        <v>0</v>
      </c>
      <c r="F23" s="158">
        <f t="shared" si="6"/>
        <v>0</v>
      </c>
      <c r="G23" s="158">
        <f t="shared" si="6"/>
        <v>0</v>
      </c>
      <c r="H23" s="158">
        <f t="shared" si="6"/>
        <v>261</v>
      </c>
      <c r="I23" s="158">
        <f t="shared" si="6"/>
        <v>261</v>
      </c>
      <c r="J23" s="158">
        <f t="shared" si="6"/>
        <v>261</v>
      </c>
      <c r="K23" s="158">
        <f t="shared" si="6"/>
        <v>261</v>
      </c>
      <c r="L23" s="158">
        <f t="shared" si="6"/>
        <v>261</v>
      </c>
      <c r="M23" s="158">
        <f t="shared" si="6"/>
        <v>522</v>
      </c>
      <c r="N23" s="158">
        <f t="shared" si="6"/>
        <v>522</v>
      </c>
      <c r="O23" s="158">
        <f t="shared" si="6"/>
        <v>522</v>
      </c>
      <c r="P23" s="158">
        <f t="shared" si="6"/>
        <v>522</v>
      </c>
      <c r="Q23" s="158">
        <f t="shared" si="6"/>
        <v>522</v>
      </c>
      <c r="R23" s="158">
        <f t="shared" si="6"/>
        <v>783</v>
      </c>
      <c r="S23" s="158">
        <f t="shared" si="6"/>
        <v>783</v>
      </c>
      <c r="T23" s="158">
        <f t="shared" si="6"/>
        <v>783</v>
      </c>
      <c r="U23" s="158">
        <f t="shared" si="6"/>
        <v>783</v>
      </c>
      <c r="V23" s="158">
        <f t="shared" si="6"/>
        <v>783</v>
      </c>
      <c r="W23" s="158">
        <f t="shared" si="6"/>
        <v>1044</v>
      </c>
      <c r="X23" s="158">
        <f t="shared" si="6"/>
        <v>1044</v>
      </c>
      <c r="Y23" s="158">
        <f t="shared" si="6"/>
        <v>1044</v>
      </c>
      <c r="Z23" s="158">
        <f t="shared" si="6"/>
        <v>1044</v>
      </c>
      <c r="AA23" s="158">
        <f t="shared" si="6"/>
        <v>1044</v>
      </c>
      <c r="AB23" s="158">
        <f t="shared" si="6"/>
        <v>1305</v>
      </c>
      <c r="AC23" s="158">
        <f t="shared" si="6"/>
        <v>1305</v>
      </c>
      <c r="AD23" s="158">
        <f t="shared" si="6"/>
        <v>1305</v>
      </c>
      <c r="AE23" s="158">
        <f t="shared" si="6"/>
        <v>1305</v>
      </c>
      <c r="AF23" s="158">
        <f t="shared" si="6"/>
        <v>1305</v>
      </c>
      <c r="AG23" s="158">
        <f t="shared" si="6"/>
        <v>1566</v>
      </c>
      <c r="AH23" s="158">
        <f t="shared" si="6"/>
        <v>1566</v>
      </c>
      <c r="AI23" s="158">
        <f t="shared" si="6"/>
        <v>1566</v>
      </c>
      <c r="AJ23" s="158">
        <f t="shared" si="6"/>
        <v>1566</v>
      </c>
      <c r="AK23" s="158">
        <f t="shared" si="6"/>
        <v>1566</v>
      </c>
      <c r="AL23" s="158">
        <f t="shared" si="6"/>
        <v>1827</v>
      </c>
      <c r="AM23" s="158">
        <f t="shared" si="6"/>
        <v>1827</v>
      </c>
      <c r="AN23" s="158">
        <f t="shared" si="6"/>
        <v>1827</v>
      </c>
      <c r="AO23" s="158">
        <f t="shared" si="6"/>
        <v>1827</v>
      </c>
      <c r="AP23" s="158">
        <f t="shared" si="6"/>
        <v>1827</v>
      </c>
      <c r="AQ23" s="158">
        <f t="shared" si="6"/>
        <v>2088</v>
      </c>
      <c r="AR23" s="158"/>
      <c r="AS23" s="158">
        <f>SUM(AS17:AS21)</f>
        <v>39628</v>
      </c>
    </row>
    <row r="24" spans="1:43" s="217" customFormat="1" ht="15.75" customHeight="1">
      <c r="A24" s="215"/>
      <c r="B24" s="216"/>
      <c r="C24" s="217" t="s">
        <v>98</v>
      </c>
      <c r="D24" s="217">
        <v>1</v>
      </c>
      <c r="E24" s="217">
        <v>2</v>
      </c>
      <c r="F24" s="217">
        <v>3</v>
      </c>
      <c r="G24" s="217">
        <v>4</v>
      </c>
      <c r="H24" s="217">
        <v>5</v>
      </c>
      <c r="I24" s="217">
        <v>6</v>
      </c>
      <c r="J24" s="217">
        <v>7</v>
      </c>
      <c r="K24" s="217">
        <v>8</v>
      </c>
      <c r="L24" s="217">
        <v>9</v>
      </c>
      <c r="M24" s="217">
        <v>10</v>
      </c>
      <c r="N24" s="217">
        <v>11</v>
      </c>
      <c r="O24" s="217">
        <v>12</v>
      </c>
      <c r="P24" s="217">
        <v>13</v>
      </c>
      <c r="Q24" s="217">
        <v>14</v>
      </c>
      <c r="R24" s="217">
        <v>15</v>
      </c>
      <c r="S24" s="217">
        <v>16</v>
      </c>
      <c r="T24" s="217">
        <v>17</v>
      </c>
      <c r="U24" s="217">
        <v>18</v>
      </c>
      <c r="V24" s="217">
        <v>19</v>
      </c>
      <c r="W24" s="217">
        <v>20</v>
      </c>
      <c r="X24" s="217">
        <v>21</v>
      </c>
      <c r="Y24" s="217">
        <v>22</v>
      </c>
      <c r="Z24" s="217">
        <v>23</v>
      </c>
      <c r="AA24" s="217">
        <v>24</v>
      </c>
      <c r="AB24" s="217">
        <v>25</v>
      </c>
      <c r="AC24" s="217">
        <v>26</v>
      </c>
      <c r="AD24" s="217">
        <v>27</v>
      </c>
      <c r="AE24" s="217">
        <v>28</v>
      </c>
      <c r="AF24" s="217">
        <v>29</v>
      </c>
      <c r="AG24" s="217">
        <v>30</v>
      </c>
      <c r="AH24" s="217">
        <f aca="true" t="shared" si="7" ref="AH24:AQ24">AG24+1</f>
        <v>31</v>
      </c>
      <c r="AI24" s="217">
        <f t="shared" si="7"/>
        <v>32</v>
      </c>
      <c r="AJ24" s="217">
        <f t="shared" si="7"/>
        <v>33</v>
      </c>
      <c r="AK24" s="217">
        <f t="shared" si="7"/>
        <v>34</v>
      </c>
      <c r="AL24" s="217">
        <f t="shared" si="7"/>
        <v>35</v>
      </c>
      <c r="AM24" s="217">
        <f t="shared" si="7"/>
        <v>36</v>
      </c>
      <c r="AN24" s="217">
        <f t="shared" si="7"/>
        <v>37</v>
      </c>
      <c r="AO24" s="217">
        <f t="shared" si="7"/>
        <v>38</v>
      </c>
      <c r="AP24" s="217">
        <f t="shared" si="7"/>
        <v>39</v>
      </c>
      <c r="AQ24" s="217">
        <f t="shared" si="7"/>
        <v>40</v>
      </c>
    </row>
    <row r="25" spans="2:45" s="231" customFormat="1" ht="12.75" customHeight="1">
      <c r="B25" s="232" t="s">
        <v>182</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row>
    <row r="26" spans="1:45" s="235" customFormat="1" ht="12.75" customHeight="1">
      <c r="A26" s="231"/>
      <c r="B26" s="234"/>
      <c r="C26" s="235" t="s">
        <v>214</v>
      </c>
      <c r="D26" s="236">
        <f>'Inc &amp; Exp'!G79</f>
        <v>0</v>
      </c>
      <c r="E26" s="223" t="s">
        <v>210</v>
      </c>
      <c r="F26" s="223" t="s">
        <v>210</v>
      </c>
      <c r="G26" s="223" t="s">
        <v>210</v>
      </c>
      <c r="H26" s="223" t="s">
        <v>210</v>
      </c>
      <c r="I26" s="223" t="s">
        <v>210</v>
      </c>
      <c r="J26" s="223" t="s">
        <v>210</v>
      </c>
      <c r="K26" s="223" t="s">
        <v>210</v>
      </c>
      <c r="L26" s="223" t="s">
        <v>210</v>
      </c>
      <c r="M26" s="223" t="s">
        <v>210</v>
      </c>
      <c r="N26" s="223" t="s">
        <v>210</v>
      </c>
      <c r="O26" s="223" t="s">
        <v>210</v>
      </c>
      <c r="P26" s="223" t="s">
        <v>210</v>
      </c>
      <c r="Q26" s="223" t="s">
        <v>210</v>
      </c>
      <c r="R26" s="223" t="s">
        <v>210</v>
      </c>
      <c r="S26" s="223" t="s">
        <v>210</v>
      </c>
      <c r="T26" s="223" t="s">
        <v>210</v>
      </c>
      <c r="U26" s="223" t="s">
        <v>210</v>
      </c>
      <c r="V26" s="223" t="s">
        <v>210</v>
      </c>
      <c r="W26" s="223" t="s">
        <v>210</v>
      </c>
      <c r="X26" s="223" t="s">
        <v>210</v>
      </c>
      <c r="Y26" s="223" t="s">
        <v>210</v>
      </c>
      <c r="Z26" s="223" t="s">
        <v>210</v>
      </c>
      <c r="AA26" s="223" t="s">
        <v>210</v>
      </c>
      <c r="AB26" s="223" t="s">
        <v>210</v>
      </c>
      <c r="AC26" s="223" t="s">
        <v>210</v>
      </c>
      <c r="AD26" s="223" t="s">
        <v>210</v>
      </c>
      <c r="AE26" s="223" t="s">
        <v>210</v>
      </c>
      <c r="AF26" s="223" t="s">
        <v>210</v>
      </c>
      <c r="AG26" s="223" t="s">
        <v>210</v>
      </c>
      <c r="AH26" s="223" t="s">
        <v>210</v>
      </c>
      <c r="AI26" s="223" t="s">
        <v>210</v>
      </c>
      <c r="AJ26" s="223" t="s">
        <v>210</v>
      </c>
      <c r="AK26" s="223" t="s">
        <v>210</v>
      </c>
      <c r="AL26" s="223" t="s">
        <v>210</v>
      </c>
      <c r="AM26" s="223" t="s">
        <v>210</v>
      </c>
      <c r="AN26" s="223" t="s">
        <v>210</v>
      </c>
      <c r="AO26" s="223" t="s">
        <v>210</v>
      </c>
      <c r="AP26" s="223" t="s">
        <v>210</v>
      </c>
      <c r="AQ26" s="223" t="s">
        <v>210</v>
      </c>
      <c r="AR26" s="236"/>
      <c r="AS26" s="236">
        <f>SUM(D26:AR26)</f>
        <v>0</v>
      </c>
    </row>
    <row r="27" spans="1:45" s="160" customFormat="1" ht="15" customHeight="1">
      <c r="A27" s="231"/>
      <c r="B27" s="222"/>
      <c r="C27" s="160" t="s">
        <v>215</v>
      </c>
      <c r="D27" s="237" t="s">
        <v>210</v>
      </c>
      <c r="E27" s="238"/>
      <c r="F27" s="238">
        <v>0</v>
      </c>
      <c r="G27" s="238">
        <v>0</v>
      </c>
      <c r="H27" s="238">
        <v>0</v>
      </c>
      <c r="I27" s="238">
        <v>0</v>
      </c>
      <c r="J27" s="238">
        <v>0</v>
      </c>
      <c r="K27" s="238">
        <v>0</v>
      </c>
      <c r="L27" s="238">
        <v>0</v>
      </c>
      <c r="M27" s="238">
        <v>10000</v>
      </c>
      <c r="N27" s="238">
        <v>0</v>
      </c>
      <c r="O27" s="238">
        <v>0</v>
      </c>
      <c r="P27" s="238">
        <v>0</v>
      </c>
      <c r="Q27" s="238">
        <v>0</v>
      </c>
      <c r="R27" s="238">
        <v>0</v>
      </c>
      <c r="S27" s="238">
        <v>0</v>
      </c>
      <c r="T27" s="238">
        <v>0</v>
      </c>
      <c r="U27" s="238">
        <v>0</v>
      </c>
      <c r="V27" s="238">
        <v>0</v>
      </c>
      <c r="W27" s="238">
        <v>10000</v>
      </c>
      <c r="X27" s="238">
        <v>0</v>
      </c>
      <c r="Y27" s="238">
        <v>0</v>
      </c>
      <c r="Z27" s="238">
        <v>0</v>
      </c>
      <c r="AA27" s="238">
        <v>0</v>
      </c>
      <c r="AB27" s="238">
        <v>0</v>
      </c>
      <c r="AC27" s="238">
        <v>0</v>
      </c>
      <c r="AD27" s="238">
        <v>0</v>
      </c>
      <c r="AE27" s="238">
        <v>0</v>
      </c>
      <c r="AF27" s="238">
        <v>0</v>
      </c>
      <c r="AG27" s="238">
        <v>10000</v>
      </c>
      <c r="AH27" s="238">
        <v>0</v>
      </c>
      <c r="AI27" s="238">
        <v>0</v>
      </c>
      <c r="AJ27" s="238">
        <v>0</v>
      </c>
      <c r="AK27" s="238">
        <v>0</v>
      </c>
      <c r="AL27" s="238">
        <v>0</v>
      </c>
      <c r="AM27" s="238">
        <v>0</v>
      </c>
      <c r="AN27" s="238">
        <v>0</v>
      </c>
      <c r="AO27" s="238">
        <v>0</v>
      </c>
      <c r="AP27" s="238">
        <v>0</v>
      </c>
      <c r="AQ27" s="238">
        <v>0</v>
      </c>
      <c r="AR27" s="169"/>
      <c r="AS27" s="236">
        <f aca="true" t="shared" si="8" ref="AS27:AS35">SUM(D27:AQ27)</f>
        <v>30000</v>
      </c>
    </row>
    <row r="28" spans="1:45" s="160" customFormat="1" ht="12.75" customHeight="1">
      <c r="A28" s="231"/>
      <c r="B28" s="222"/>
      <c r="C28" s="160" t="s">
        <v>32</v>
      </c>
      <c r="D28" s="169">
        <v>0</v>
      </c>
      <c r="E28" s="169">
        <f aca="true" t="shared" si="9" ref="E28:AQ28">E20*E11</f>
        <v>0</v>
      </c>
      <c r="F28" s="169">
        <f t="shared" si="9"/>
        <v>0</v>
      </c>
      <c r="G28" s="169">
        <f t="shared" si="9"/>
        <v>0</v>
      </c>
      <c r="H28" s="169">
        <f t="shared" si="9"/>
        <v>26.1</v>
      </c>
      <c r="I28" s="169">
        <f t="shared" si="9"/>
        <v>26.1</v>
      </c>
      <c r="J28" s="169">
        <f t="shared" si="9"/>
        <v>26.1</v>
      </c>
      <c r="K28" s="169">
        <f t="shared" si="9"/>
        <v>26.1</v>
      </c>
      <c r="L28" s="169">
        <f t="shared" si="9"/>
        <v>26.1</v>
      </c>
      <c r="M28" s="169">
        <f t="shared" si="9"/>
        <v>52.2</v>
      </c>
      <c r="N28" s="169">
        <f t="shared" si="9"/>
        <v>52.2</v>
      </c>
      <c r="O28" s="169">
        <f t="shared" si="9"/>
        <v>52.2</v>
      </c>
      <c r="P28" s="169">
        <f t="shared" si="9"/>
        <v>52.2</v>
      </c>
      <c r="Q28" s="169">
        <f t="shared" si="9"/>
        <v>52.2</v>
      </c>
      <c r="R28" s="169">
        <f t="shared" si="9"/>
        <v>78.30000000000001</v>
      </c>
      <c r="S28" s="169">
        <f t="shared" si="9"/>
        <v>78.30000000000001</v>
      </c>
      <c r="T28" s="169">
        <f t="shared" si="9"/>
        <v>78.30000000000001</v>
      </c>
      <c r="U28" s="169">
        <f t="shared" si="9"/>
        <v>78.30000000000001</v>
      </c>
      <c r="V28" s="169">
        <f t="shared" si="9"/>
        <v>78.30000000000001</v>
      </c>
      <c r="W28" s="169">
        <f t="shared" si="9"/>
        <v>104.4</v>
      </c>
      <c r="X28" s="169">
        <f t="shared" si="9"/>
        <v>104.4</v>
      </c>
      <c r="Y28" s="169">
        <f t="shared" si="9"/>
        <v>104.4</v>
      </c>
      <c r="Z28" s="169">
        <f t="shared" si="9"/>
        <v>104.4</v>
      </c>
      <c r="AA28" s="169">
        <f t="shared" si="9"/>
        <v>104.4</v>
      </c>
      <c r="AB28" s="169">
        <f t="shared" si="9"/>
        <v>130.5</v>
      </c>
      <c r="AC28" s="169">
        <f t="shared" si="9"/>
        <v>130.5</v>
      </c>
      <c r="AD28" s="169">
        <f t="shared" si="9"/>
        <v>130.5</v>
      </c>
      <c r="AE28" s="169">
        <f t="shared" si="9"/>
        <v>130.5</v>
      </c>
      <c r="AF28" s="169">
        <f t="shared" si="9"/>
        <v>130.5</v>
      </c>
      <c r="AG28" s="169">
        <f t="shared" si="9"/>
        <v>156.60000000000002</v>
      </c>
      <c r="AH28" s="169">
        <f t="shared" si="9"/>
        <v>156.60000000000002</v>
      </c>
      <c r="AI28" s="169">
        <f t="shared" si="9"/>
        <v>156.60000000000002</v>
      </c>
      <c r="AJ28" s="169">
        <f t="shared" si="9"/>
        <v>156.60000000000002</v>
      </c>
      <c r="AK28" s="169">
        <f t="shared" si="9"/>
        <v>156.60000000000002</v>
      </c>
      <c r="AL28" s="169">
        <f t="shared" si="9"/>
        <v>182.70000000000002</v>
      </c>
      <c r="AM28" s="169">
        <f t="shared" si="9"/>
        <v>182.70000000000002</v>
      </c>
      <c r="AN28" s="169">
        <f t="shared" si="9"/>
        <v>182.70000000000002</v>
      </c>
      <c r="AO28" s="169">
        <f t="shared" si="9"/>
        <v>182.70000000000002</v>
      </c>
      <c r="AP28" s="169">
        <f t="shared" si="9"/>
        <v>182.70000000000002</v>
      </c>
      <c r="AQ28" s="169">
        <f t="shared" si="9"/>
        <v>208.8</v>
      </c>
      <c r="AR28" s="166"/>
      <c r="AS28" s="239">
        <f t="shared" si="8"/>
        <v>3862.799999999999</v>
      </c>
    </row>
    <row r="29" spans="1:45" s="160" customFormat="1" ht="12.75" customHeight="1">
      <c r="A29" s="231"/>
      <c r="B29" s="557" t="s">
        <v>216</v>
      </c>
      <c r="C29" s="160" t="s">
        <v>187</v>
      </c>
      <c r="D29" s="169">
        <f>'Inc &amp; Exp'!G26</f>
        <v>0</v>
      </c>
      <c r="E29" s="169">
        <f>D29*(1+$C$3)</f>
        <v>0</v>
      </c>
      <c r="F29" s="169">
        <f aca="true" t="shared" si="10" ref="F29:F35">E29*(1+$C$3)</f>
        <v>0</v>
      </c>
      <c r="G29" s="169">
        <f aca="true" t="shared" si="11" ref="G29:G35">F29*(1+$C$3)</f>
        <v>0</v>
      </c>
      <c r="H29" s="169">
        <f aca="true" t="shared" si="12" ref="H29:H35">G29*(1+$C$3)</f>
        <v>0</v>
      </c>
      <c r="I29" s="169">
        <f aca="true" t="shared" si="13" ref="I29:I35">H29*(1+$C$3)</f>
        <v>0</v>
      </c>
      <c r="J29" s="169">
        <f aca="true" t="shared" si="14" ref="J29:J35">I29*(1+$C$3)</f>
        <v>0</v>
      </c>
      <c r="K29" s="169">
        <f aca="true" t="shared" si="15" ref="K29:K35">J29*(1+$C$3)</f>
        <v>0</v>
      </c>
      <c r="L29" s="169">
        <f aca="true" t="shared" si="16" ref="L29:L35">K29*(1+$C$3)</f>
        <v>0</v>
      </c>
      <c r="M29" s="169">
        <f aca="true" t="shared" si="17" ref="M29:M35">L29*(1+$C$3)</f>
        <v>0</v>
      </c>
      <c r="N29" s="169">
        <f aca="true" t="shared" si="18" ref="N29:N35">M29*(1+$C$3)</f>
        <v>0</v>
      </c>
      <c r="O29" s="169">
        <f aca="true" t="shared" si="19" ref="O29:O35">N29*(1+$C$3)</f>
        <v>0</v>
      </c>
      <c r="P29" s="169">
        <f aca="true" t="shared" si="20" ref="P29:P35">O29*(1+$C$3)</f>
        <v>0</v>
      </c>
      <c r="Q29" s="169">
        <f aca="true" t="shared" si="21" ref="Q29:Q35">P29*(1+$C$3)</f>
        <v>0</v>
      </c>
      <c r="R29" s="169">
        <f aca="true" t="shared" si="22" ref="R29:R35">Q29*(1+$C$3)</f>
        <v>0</v>
      </c>
      <c r="S29" s="169">
        <f aca="true" t="shared" si="23" ref="S29:S35">R29*(1+$C$3)</f>
        <v>0</v>
      </c>
      <c r="T29" s="169">
        <f aca="true" t="shared" si="24" ref="T29:T35">S29*(1+$C$3)</f>
        <v>0</v>
      </c>
      <c r="U29" s="169">
        <f aca="true" t="shared" si="25" ref="U29:U35">T29*(1+$C$3)</f>
        <v>0</v>
      </c>
      <c r="V29" s="169">
        <f aca="true" t="shared" si="26" ref="V29:V35">U29*(1+$C$3)</f>
        <v>0</v>
      </c>
      <c r="W29" s="169">
        <f aca="true" t="shared" si="27" ref="W29:W35">V29*(1+$C$3)</f>
        <v>0</v>
      </c>
      <c r="X29" s="169">
        <f aca="true" t="shared" si="28" ref="X29:X35">W29*(1+$C$3)</f>
        <v>0</v>
      </c>
      <c r="Y29" s="169">
        <f aca="true" t="shared" si="29" ref="Y29:Y35">X29*(1+$C$3)</f>
        <v>0</v>
      </c>
      <c r="Z29" s="169">
        <f aca="true" t="shared" si="30" ref="Z29:Z35">Y29*(1+$C$3)</f>
        <v>0</v>
      </c>
      <c r="AA29" s="169">
        <f aca="true" t="shared" si="31" ref="AA29:AA35">Z29*(1+$C$3)</f>
        <v>0</v>
      </c>
      <c r="AB29" s="169">
        <f aca="true" t="shared" si="32" ref="AB29:AB35">AA29*(1+$C$3)</f>
        <v>0</v>
      </c>
      <c r="AC29" s="169">
        <f aca="true" t="shared" si="33" ref="AC29:AC35">AB29*(1+$C$3)</f>
        <v>0</v>
      </c>
      <c r="AD29" s="169">
        <f aca="true" t="shared" si="34" ref="AD29:AD35">AC29*(1+$C$3)</f>
        <v>0</v>
      </c>
      <c r="AE29" s="169">
        <f aca="true" t="shared" si="35" ref="AE29:AE35">AD29*(1+$C$3)</f>
        <v>0</v>
      </c>
      <c r="AF29" s="169">
        <f aca="true" t="shared" si="36" ref="AF29:AF35">AE29*(1+$C$3)</f>
        <v>0</v>
      </c>
      <c r="AG29" s="169">
        <f aca="true" t="shared" si="37" ref="AG29:AG35">AF29*(1+$C$3)</f>
        <v>0</v>
      </c>
      <c r="AH29" s="169">
        <f aca="true" t="shared" si="38" ref="AH29:AH35">AG29*(1+$C$3)</f>
        <v>0</v>
      </c>
      <c r="AI29" s="169">
        <f aca="true" t="shared" si="39" ref="AI29:AI35">AH29*(1+$C$3)</f>
        <v>0</v>
      </c>
      <c r="AJ29" s="169">
        <f aca="true" t="shared" si="40" ref="AJ29:AJ35">AI29*(1+$C$3)</f>
        <v>0</v>
      </c>
      <c r="AK29" s="169">
        <f aca="true" t="shared" si="41" ref="AK29:AK35">AJ29*(1+$C$3)</f>
        <v>0</v>
      </c>
      <c r="AL29" s="169">
        <f aca="true" t="shared" si="42" ref="AL29:AL35">AK29*(1+$C$3)</f>
        <v>0</v>
      </c>
      <c r="AM29" s="169">
        <f aca="true" t="shared" si="43" ref="AM29:AM35">AL29*(1+$C$3)</f>
        <v>0</v>
      </c>
      <c r="AN29" s="169">
        <f aca="true" t="shared" si="44" ref="AN29:AN35">AM29*(1+$C$3)</f>
        <v>0</v>
      </c>
      <c r="AO29" s="169">
        <f aca="true" t="shared" si="45" ref="AO29:AO35">AN29*(1+$C$3)</f>
        <v>0</v>
      </c>
      <c r="AP29" s="169">
        <f aca="true" t="shared" si="46" ref="AP29:AP35">AO29*(1+$C$3)</f>
        <v>0</v>
      </c>
      <c r="AQ29" s="169">
        <f aca="true" t="shared" si="47" ref="AQ29:AQ35">AP29*(1+$C$3)</f>
        <v>0</v>
      </c>
      <c r="AR29" s="166"/>
      <c r="AS29" s="239">
        <f t="shared" si="8"/>
        <v>0</v>
      </c>
    </row>
    <row r="30" spans="1:45" s="160" customFormat="1" ht="13.5" customHeight="1">
      <c r="A30" s="231"/>
      <c r="B30" s="557"/>
      <c r="C30" s="160" t="s">
        <v>36</v>
      </c>
      <c r="D30" s="169">
        <f>'Year One Breakdown '!AA24</f>
        <v>0</v>
      </c>
      <c r="E30" s="169">
        <f>'Inc &amp; Exp'!G27*(1+$C$3)</f>
        <v>1236</v>
      </c>
      <c r="F30" s="169">
        <f t="shared" si="10"/>
        <v>1273.08</v>
      </c>
      <c r="G30" s="169">
        <f t="shared" si="11"/>
        <v>1311.2724</v>
      </c>
      <c r="H30" s="169">
        <f t="shared" si="12"/>
        <v>1350.610572</v>
      </c>
      <c r="I30" s="169">
        <f t="shared" si="13"/>
        <v>1391.12888916</v>
      </c>
      <c r="J30" s="169">
        <f t="shared" si="14"/>
        <v>1432.8627558348</v>
      </c>
      <c r="K30" s="169">
        <f t="shared" si="15"/>
        <v>1475.848638509844</v>
      </c>
      <c r="L30" s="169">
        <f t="shared" si="16"/>
        <v>1520.1240976651393</v>
      </c>
      <c r="M30" s="169">
        <f t="shared" si="17"/>
        <v>1565.7278205950936</v>
      </c>
      <c r="N30" s="169">
        <f t="shared" si="18"/>
        <v>1612.6996552129465</v>
      </c>
      <c r="O30" s="169">
        <f t="shared" si="19"/>
        <v>1661.080644869335</v>
      </c>
      <c r="P30" s="169">
        <f t="shared" si="20"/>
        <v>1710.913064215415</v>
      </c>
      <c r="Q30" s="169">
        <f t="shared" si="21"/>
        <v>1762.2404561418775</v>
      </c>
      <c r="R30" s="169">
        <f t="shared" si="22"/>
        <v>1815.1076698261338</v>
      </c>
      <c r="S30" s="169">
        <f t="shared" si="23"/>
        <v>1869.5608999209178</v>
      </c>
      <c r="T30" s="169">
        <f t="shared" si="24"/>
        <v>1925.6477269185455</v>
      </c>
      <c r="U30" s="169">
        <f t="shared" si="25"/>
        <v>1983.417158726102</v>
      </c>
      <c r="V30" s="169">
        <f t="shared" si="26"/>
        <v>2042.919673487885</v>
      </c>
      <c r="W30" s="169">
        <f t="shared" si="27"/>
        <v>2104.2072636925213</v>
      </c>
      <c r="X30" s="169">
        <f t="shared" si="28"/>
        <v>2167.333481603297</v>
      </c>
      <c r="Y30" s="169">
        <f t="shared" si="29"/>
        <v>2232.353486051396</v>
      </c>
      <c r="Z30" s="169">
        <f t="shared" si="30"/>
        <v>2299.324090632938</v>
      </c>
      <c r="AA30" s="169">
        <f t="shared" si="31"/>
        <v>2368.3038133519262</v>
      </c>
      <c r="AB30" s="169">
        <f t="shared" si="32"/>
        <v>2439.352927752484</v>
      </c>
      <c r="AC30" s="169">
        <f t="shared" si="33"/>
        <v>2512.5335155850585</v>
      </c>
      <c r="AD30" s="169">
        <f t="shared" si="34"/>
        <v>2587.90952105261</v>
      </c>
      <c r="AE30" s="169">
        <f t="shared" si="35"/>
        <v>2665.5468066841886</v>
      </c>
      <c r="AF30" s="169">
        <f t="shared" si="36"/>
        <v>2745.513210884714</v>
      </c>
      <c r="AG30" s="169">
        <f t="shared" si="37"/>
        <v>2827.8786072112557</v>
      </c>
      <c r="AH30" s="169">
        <f t="shared" si="38"/>
        <v>2912.7149654275936</v>
      </c>
      <c r="AI30" s="169">
        <f t="shared" si="39"/>
        <v>3000.0964143904216</v>
      </c>
      <c r="AJ30" s="169">
        <f t="shared" si="40"/>
        <v>3090.099306822134</v>
      </c>
      <c r="AK30" s="169">
        <f t="shared" si="41"/>
        <v>3182.8022860267984</v>
      </c>
      <c r="AL30" s="169">
        <f t="shared" si="42"/>
        <v>3278.2863546076023</v>
      </c>
      <c r="AM30" s="169">
        <f t="shared" si="43"/>
        <v>3376.6349452458303</v>
      </c>
      <c r="AN30" s="169">
        <f t="shared" si="44"/>
        <v>3477.933993603205</v>
      </c>
      <c r="AO30" s="169">
        <f t="shared" si="45"/>
        <v>3582.2720134113015</v>
      </c>
      <c r="AP30" s="169">
        <f t="shared" si="46"/>
        <v>3689.7401738136405</v>
      </c>
      <c r="AQ30" s="169">
        <f t="shared" si="47"/>
        <v>3800.4323790280496</v>
      </c>
      <c r="AR30" s="166"/>
      <c r="AS30" s="239">
        <f t="shared" si="8"/>
        <v>89281.51167996299</v>
      </c>
    </row>
    <row r="31" spans="1:45" s="160" customFormat="1" ht="13.5" customHeight="1">
      <c r="A31" s="231"/>
      <c r="B31" s="557"/>
      <c r="C31" s="160" t="s">
        <v>38</v>
      </c>
      <c r="D31" s="169">
        <f>'Inc &amp; Exp'!G28</f>
        <v>0</v>
      </c>
      <c r="E31" s="169">
        <f>D31*(1+$C$3)</f>
        <v>0</v>
      </c>
      <c r="F31" s="169">
        <f t="shared" si="10"/>
        <v>0</v>
      </c>
      <c r="G31" s="169">
        <f t="shared" si="11"/>
        <v>0</v>
      </c>
      <c r="H31" s="169">
        <f t="shared" si="12"/>
        <v>0</v>
      </c>
      <c r="I31" s="169">
        <f t="shared" si="13"/>
        <v>0</v>
      </c>
      <c r="J31" s="169">
        <f t="shared" si="14"/>
        <v>0</v>
      </c>
      <c r="K31" s="169">
        <f t="shared" si="15"/>
        <v>0</v>
      </c>
      <c r="L31" s="169">
        <f t="shared" si="16"/>
        <v>0</v>
      </c>
      <c r="M31" s="169">
        <f t="shared" si="17"/>
        <v>0</v>
      </c>
      <c r="N31" s="169">
        <f t="shared" si="18"/>
        <v>0</v>
      </c>
      <c r="O31" s="169">
        <f t="shared" si="19"/>
        <v>0</v>
      </c>
      <c r="P31" s="169">
        <f t="shared" si="20"/>
        <v>0</v>
      </c>
      <c r="Q31" s="169">
        <f t="shared" si="21"/>
        <v>0</v>
      </c>
      <c r="R31" s="169">
        <f t="shared" si="22"/>
        <v>0</v>
      </c>
      <c r="S31" s="169">
        <f t="shared" si="23"/>
        <v>0</v>
      </c>
      <c r="T31" s="169">
        <f t="shared" si="24"/>
        <v>0</v>
      </c>
      <c r="U31" s="169">
        <f t="shared" si="25"/>
        <v>0</v>
      </c>
      <c r="V31" s="169">
        <f t="shared" si="26"/>
        <v>0</v>
      </c>
      <c r="W31" s="169">
        <f t="shared" si="27"/>
        <v>0</v>
      </c>
      <c r="X31" s="169">
        <f t="shared" si="28"/>
        <v>0</v>
      </c>
      <c r="Y31" s="169">
        <f t="shared" si="29"/>
        <v>0</v>
      </c>
      <c r="Z31" s="169">
        <f t="shared" si="30"/>
        <v>0</v>
      </c>
      <c r="AA31" s="169">
        <f t="shared" si="31"/>
        <v>0</v>
      </c>
      <c r="AB31" s="169">
        <f t="shared" si="32"/>
        <v>0</v>
      </c>
      <c r="AC31" s="169">
        <f t="shared" si="33"/>
        <v>0</v>
      </c>
      <c r="AD31" s="169">
        <f t="shared" si="34"/>
        <v>0</v>
      </c>
      <c r="AE31" s="169">
        <f t="shared" si="35"/>
        <v>0</v>
      </c>
      <c r="AF31" s="169">
        <f t="shared" si="36"/>
        <v>0</v>
      </c>
      <c r="AG31" s="169">
        <f t="shared" si="37"/>
        <v>0</v>
      </c>
      <c r="AH31" s="169">
        <f t="shared" si="38"/>
        <v>0</v>
      </c>
      <c r="AI31" s="169">
        <f t="shared" si="39"/>
        <v>0</v>
      </c>
      <c r="AJ31" s="169">
        <f t="shared" si="40"/>
        <v>0</v>
      </c>
      <c r="AK31" s="169">
        <f t="shared" si="41"/>
        <v>0</v>
      </c>
      <c r="AL31" s="169">
        <f t="shared" si="42"/>
        <v>0</v>
      </c>
      <c r="AM31" s="169">
        <f t="shared" si="43"/>
        <v>0</v>
      </c>
      <c r="AN31" s="169">
        <f t="shared" si="44"/>
        <v>0</v>
      </c>
      <c r="AO31" s="169">
        <f t="shared" si="45"/>
        <v>0</v>
      </c>
      <c r="AP31" s="169">
        <f t="shared" si="46"/>
        <v>0</v>
      </c>
      <c r="AQ31" s="169">
        <f t="shared" si="47"/>
        <v>0</v>
      </c>
      <c r="AR31" s="166"/>
      <c r="AS31" s="239">
        <f t="shared" si="8"/>
        <v>0</v>
      </c>
    </row>
    <row r="32" spans="1:45" s="160" customFormat="1" ht="12.75" customHeight="1">
      <c r="A32" s="231"/>
      <c r="B32" s="557"/>
      <c r="C32" s="160" t="s">
        <v>190</v>
      </c>
      <c r="D32" s="169">
        <f>'Inc &amp; Exp'!G29</f>
        <v>0</v>
      </c>
      <c r="E32" s="169">
        <f>D32*(1+$C$3)</f>
        <v>0</v>
      </c>
      <c r="F32" s="169">
        <f t="shared" si="10"/>
        <v>0</v>
      </c>
      <c r="G32" s="169">
        <f t="shared" si="11"/>
        <v>0</v>
      </c>
      <c r="H32" s="169">
        <f t="shared" si="12"/>
        <v>0</v>
      </c>
      <c r="I32" s="169">
        <f t="shared" si="13"/>
        <v>0</v>
      </c>
      <c r="J32" s="169">
        <f t="shared" si="14"/>
        <v>0</v>
      </c>
      <c r="K32" s="169">
        <f t="shared" si="15"/>
        <v>0</v>
      </c>
      <c r="L32" s="169">
        <f t="shared" si="16"/>
        <v>0</v>
      </c>
      <c r="M32" s="169">
        <f t="shared" si="17"/>
        <v>0</v>
      </c>
      <c r="N32" s="169">
        <f t="shared" si="18"/>
        <v>0</v>
      </c>
      <c r="O32" s="169">
        <f t="shared" si="19"/>
        <v>0</v>
      </c>
      <c r="P32" s="169">
        <f t="shared" si="20"/>
        <v>0</v>
      </c>
      <c r="Q32" s="169">
        <f t="shared" si="21"/>
        <v>0</v>
      </c>
      <c r="R32" s="169">
        <f t="shared" si="22"/>
        <v>0</v>
      </c>
      <c r="S32" s="169">
        <f t="shared" si="23"/>
        <v>0</v>
      </c>
      <c r="T32" s="169">
        <f t="shared" si="24"/>
        <v>0</v>
      </c>
      <c r="U32" s="169">
        <f t="shared" si="25"/>
        <v>0</v>
      </c>
      <c r="V32" s="169">
        <f t="shared" si="26"/>
        <v>0</v>
      </c>
      <c r="W32" s="169">
        <f t="shared" si="27"/>
        <v>0</v>
      </c>
      <c r="X32" s="169">
        <f t="shared" si="28"/>
        <v>0</v>
      </c>
      <c r="Y32" s="169">
        <f t="shared" si="29"/>
        <v>0</v>
      </c>
      <c r="Z32" s="169">
        <f t="shared" si="30"/>
        <v>0</v>
      </c>
      <c r="AA32" s="169">
        <f t="shared" si="31"/>
        <v>0</v>
      </c>
      <c r="AB32" s="169">
        <f t="shared" si="32"/>
        <v>0</v>
      </c>
      <c r="AC32" s="169">
        <f t="shared" si="33"/>
        <v>0</v>
      </c>
      <c r="AD32" s="169">
        <f t="shared" si="34"/>
        <v>0</v>
      </c>
      <c r="AE32" s="169">
        <f t="shared" si="35"/>
        <v>0</v>
      </c>
      <c r="AF32" s="169">
        <f t="shared" si="36"/>
        <v>0</v>
      </c>
      <c r="AG32" s="169">
        <f t="shared" si="37"/>
        <v>0</v>
      </c>
      <c r="AH32" s="169">
        <f t="shared" si="38"/>
        <v>0</v>
      </c>
      <c r="AI32" s="169">
        <f t="shared" si="39"/>
        <v>0</v>
      </c>
      <c r="AJ32" s="169">
        <f t="shared" si="40"/>
        <v>0</v>
      </c>
      <c r="AK32" s="169">
        <f t="shared" si="41"/>
        <v>0</v>
      </c>
      <c r="AL32" s="169">
        <f t="shared" si="42"/>
        <v>0</v>
      </c>
      <c r="AM32" s="169">
        <f t="shared" si="43"/>
        <v>0</v>
      </c>
      <c r="AN32" s="169">
        <f t="shared" si="44"/>
        <v>0</v>
      </c>
      <c r="AO32" s="169">
        <f t="shared" si="45"/>
        <v>0</v>
      </c>
      <c r="AP32" s="169">
        <f t="shared" si="46"/>
        <v>0</v>
      </c>
      <c r="AQ32" s="169">
        <f t="shared" si="47"/>
        <v>0</v>
      </c>
      <c r="AR32" s="166"/>
      <c r="AS32" s="239">
        <f t="shared" si="8"/>
        <v>0</v>
      </c>
    </row>
    <row r="33" spans="1:45" s="160" customFormat="1" ht="12.75" customHeight="1">
      <c r="A33" s="231"/>
      <c r="B33" s="557"/>
      <c r="C33" s="160" t="s">
        <v>191</v>
      </c>
      <c r="D33" s="169">
        <f>'Inc &amp; Exp'!G30</f>
        <v>0</v>
      </c>
      <c r="E33" s="169">
        <f>D33*(1+$C$3)</f>
        <v>0</v>
      </c>
      <c r="F33" s="169">
        <f t="shared" si="10"/>
        <v>0</v>
      </c>
      <c r="G33" s="169">
        <f t="shared" si="11"/>
        <v>0</v>
      </c>
      <c r="H33" s="169">
        <f t="shared" si="12"/>
        <v>0</v>
      </c>
      <c r="I33" s="169">
        <f t="shared" si="13"/>
        <v>0</v>
      </c>
      <c r="J33" s="169">
        <f t="shared" si="14"/>
        <v>0</v>
      </c>
      <c r="K33" s="169">
        <f t="shared" si="15"/>
        <v>0</v>
      </c>
      <c r="L33" s="169">
        <f t="shared" si="16"/>
        <v>0</v>
      </c>
      <c r="M33" s="169">
        <f t="shared" si="17"/>
        <v>0</v>
      </c>
      <c r="N33" s="169">
        <f t="shared" si="18"/>
        <v>0</v>
      </c>
      <c r="O33" s="169">
        <f t="shared" si="19"/>
        <v>0</v>
      </c>
      <c r="P33" s="169">
        <f t="shared" si="20"/>
        <v>0</v>
      </c>
      <c r="Q33" s="169">
        <f t="shared" si="21"/>
        <v>0</v>
      </c>
      <c r="R33" s="169">
        <f t="shared" si="22"/>
        <v>0</v>
      </c>
      <c r="S33" s="169">
        <f t="shared" si="23"/>
        <v>0</v>
      </c>
      <c r="T33" s="169">
        <f t="shared" si="24"/>
        <v>0</v>
      </c>
      <c r="U33" s="169">
        <f t="shared" si="25"/>
        <v>0</v>
      </c>
      <c r="V33" s="169">
        <f t="shared" si="26"/>
        <v>0</v>
      </c>
      <c r="W33" s="169">
        <f t="shared" si="27"/>
        <v>0</v>
      </c>
      <c r="X33" s="169">
        <f t="shared" si="28"/>
        <v>0</v>
      </c>
      <c r="Y33" s="169">
        <f t="shared" si="29"/>
        <v>0</v>
      </c>
      <c r="Z33" s="169">
        <f t="shared" si="30"/>
        <v>0</v>
      </c>
      <c r="AA33" s="169">
        <f t="shared" si="31"/>
        <v>0</v>
      </c>
      <c r="AB33" s="169">
        <f t="shared" si="32"/>
        <v>0</v>
      </c>
      <c r="AC33" s="169">
        <f t="shared" si="33"/>
        <v>0</v>
      </c>
      <c r="AD33" s="169">
        <f t="shared" si="34"/>
        <v>0</v>
      </c>
      <c r="AE33" s="169">
        <f t="shared" si="35"/>
        <v>0</v>
      </c>
      <c r="AF33" s="169">
        <f t="shared" si="36"/>
        <v>0</v>
      </c>
      <c r="AG33" s="169">
        <f t="shared" si="37"/>
        <v>0</v>
      </c>
      <c r="AH33" s="169">
        <f t="shared" si="38"/>
        <v>0</v>
      </c>
      <c r="AI33" s="169">
        <f t="shared" si="39"/>
        <v>0</v>
      </c>
      <c r="AJ33" s="169">
        <f t="shared" si="40"/>
        <v>0</v>
      </c>
      <c r="AK33" s="169">
        <f t="shared" si="41"/>
        <v>0</v>
      </c>
      <c r="AL33" s="169">
        <f t="shared" si="42"/>
        <v>0</v>
      </c>
      <c r="AM33" s="169">
        <f t="shared" si="43"/>
        <v>0</v>
      </c>
      <c r="AN33" s="169">
        <f t="shared" si="44"/>
        <v>0</v>
      </c>
      <c r="AO33" s="169">
        <f t="shared" si="45"/>
        <v>0</v>
      </c>
      <c r="AP33" s="169">
        <f t="shared" si="46"/>
        <v>0</v>
      </c>
      <c r="AQ33" s="169">
        <f t="shared" si="47"/>
        <v>0</v>
      </c>
      <c r="AR33" s="166"/>
      <c r="AS33" s="239">
        <f t="shared" si="8"/>
        <v>0</v>
      </c>
    </row>
    <row r="34" spans="1:45" s="160" customFormat="1" ht="12.75" customHeight="1">
      <c r="A34" s="231"/>
      <c r="B34" s="557"/>
      <c r="C34" s="160" t="s">
        <v>217</v>
      </c>
      <c r="D34" s="169">
        <f>'Inc &amp; Exp'!G31</f>
        <v>0</v>
      </c>
      <c r="E34" s="169">
        <f>D34*(1+$C$3)</f>
        <v>0</v>
      </c>
      <c r="F34" s="169">
        <f t="shared" si="10"/>
        <v>0</v>
      </c>
      <c r="G34" s="169">
        <f t="shared" si="11"/>
        <v>0</v>
      </c>
      <c r="H34" s="169">
        <f t="shared" si="12"/>
        <v>0</v>
      </c>
      <c r="I34" s="169">
        <f t="shared" si="13"/>
        <v>0</v>
      </c>
      <c r="J34" s="169">
        <f t="shared" si="14"/>
        <v>0</v>
      </c>
      <c r="K34" s="169">
        <f t="shared" si="15"/>
        <v>0</v>
      </c>
      <c r="L34" s="169">
        <f t="shared" si="16"/>
        <v>0</v>
      </c>
      <c r="M34" s="169">
        <f t="shared" si="17"/>
        <v>0</v>
      </c>
      <c r="N34" s="169">
        <f t="shared" si="18"/>
        <v>0</v>
      </c>
      <c r="O34" s="169">
        <f t="shared" si="19"/>
        <v>0</v>
      </c>
      <c r="P34" s="169">
        <f t="shared" si="20"/>
        <v>0</v>
      </c>
      <c r="Q34" s="169">
        <f t="shared" si="21"/>
        <v>0</v>
      </c>
      <c r="R34" s="169">
        <f t="shared" si="22"/>
        <v>0</v>
      </c>
      <c r="S34" s="169">
        <f t="shared" si="23"/>
        <v>0</v>
      </c>
      <c r="T34" s="169">
        <f t="shared" si="24"/>
        <v>0</v>
      </c>
      <c r="U34" s="169">
        <f t="shared" si="25"/>
        <v>0</v>
      </c>
      <c r="V34" s="169">
        <f t="shared" si="26"/>
        <v>0</v>
      </c>
      <c r="W34" s="169">
        <f t="shared" si="27"/>
        <v>0</v>
      </c>
      <c r="X34" s="169">
        <f t="shared" si="28"/>
        <v>0</v>
      </c>
      <c r="Y34" s="169">
        <f t="shared" si="29"/>
        <v>0</v>
      </c>
      <c r="Z34" s="169">
        <f t="shared" si="30"/>
        <v>0</v>
      </c>
      <c r="AA34" s="169">
        <f t="shared" si="31"/>
        <v>0</v>
      </c>
      <c r="AB34" s="169">
        <f t="shared" si="32"/>
        <v>0</v>
      </c>
      <c r="AC34" s="169">
        <f t="shared" si="33"/>
        <v>0</v>
      </c>
      <c r="AD34" s="169">
        <f t="shared" si="34"/>
        <v>0</v>
      </c>
      <c r="AE34" s="169">
        <f t="shared" si="35"/>
        <v>0</v>
      </c>
      <c r="AF34" s="169">
        <f t="shared" si="36"/>
        <v>0</v>
      </c>
      <c r="AG34" s="169">
        <f t="shared" si="37"/>
        <v>0</v>
      </c>
      <c r="AH34" s="169">
        <f t="shared" si="38"/>
        <v>0</v>
      </c>
      <c r="AI34" s="169">
        <f t="shared" si="39"/>
        <v>0</v>
      </c>
      <c r="AJ34" s="169">
        <f t="shared" si="40"/>
        <v>0</v>
      </c>
      <c r="AK34" s="169">
        <f t="shared" si="41"/>
        <v>0</v>
      </c>
      <c r="AL34" s="169">
        <f t="shared" si="42"/>
        <v>0</v>
      </c>
      <c r="AM34" s="169">
        <f t="shared" si="43"/>
        <v>0</v>
      </c>
      <c r="AN34" s="169">
        <f t="shared" si="44"/>
        <v>0</v>
      </c>
      <c r="AO34" s="169">
        <f t="shared" si="45"/>
        <v>0</v>
      </c>
      <c r="AP34" s="169">
        <f t="shared" si="46"/>
        <v>0</v>
      </c>
      <c r="AQ34" s="169">
        <f t="shared" si="47"/>
        <v>0</v>
      </c>
      <c r="AR34" s="166"/>
      <c r="AS34" s="239">
        <f t="shared" si="8"/>
        <v>0</v>
      </c>
    </row>
    <row r="35" spans="1:45" s="160" customFormat="1" ht="12.75" customHeight="1">
      <c r="A35" s="231"/>
      <c r="B35" s="557"/>
      <c r="C35" s="160" t="s">
        <v>44</v>
      </c>
      <c r="D35" s="169">
        <f>'Year One Breakdown '!AA29</f>
        <v>0</v>
      </c>
      <c r="E35" s="169">
        <f>'Inc &amp; Exp'!G32*(1+$C$3)</f>
        <v>0</v>
      </c>
      <c r="F35" s="169">
        <f t="shared" si="10"/>
        <v>0</v>
      </c>
      <c r="G35" s="169">
        <f t="shared" si="11"/>
        <v>0</v>
      </c>
      <c r="H35" s="169">
        <f t="shared" si="12"/>
        <v>0</v>
      </c>
      <c r="I35" s="169">
        <f t="shared" si="13"/>
        <v>0</v>
      </c>
      <c r="J35" s="169">
        <f t="shared" si="14"/>
        <v>0</v>
      </c>
      <c r="K35" s="169">
        <f t="shared" si="15"/>
        <v>0</v>
      </c>
      <c r="L35" s="169">
        <f t="shared" si="16"/>
        <v>0</v>
      </c>
      <c r="M35" s="169">
        <f t="shared" si="17"/>
        <v>0</v>
      </c>
      <c r="N35" s="169">
        <f t="shared" si="18"/>
        <v>0</v>
      </c>
      <c r="O35" s="169">
        <f t="shared" si="19"/>
        <v>0</v>
      </c>
      <c r="P35" s="169">
        <f t="shared" si="20"/>
        <v>0</v>
      </c>
      <c r="Q35" s="169">
        <f t="shared" si="21"/>
        <v>0</v>
      </c>
      <c r="R35" s="169">
        <f t="shared" si="22"/>
        <v>0</v>
      </c>
      <c r="S35" s="169">
        <f t="shared" si="23"/>
        <v>0</v>
      </c>
      <c r="T35" s="169">
        <f t="shared" si="24"/>
        <v>0</v>
      </c>
      <c r="U35" s="169">
        <f t="shared" si="25"/>
        <v>0</v>
      </c>
      <c r="V35" s="169">
        <f t="shared" si="26"/>
        <v>0</v>
      </c>
      <c r="W35" s="169">
        <f t="shared" si="27"/>
        <v>0</v>
      </c>
      <c r="X35" s="169">
        <f t="shared" si="28"/>
        <v>0</v>
      </c>
      <c r="Y35" s="169">
        <f t="shared" si="29"/>
        <v>0</v>
      </c>
      <c r="Z35" s="169">
        <f t="shared" si="30"/>
        <v>0</v>
      </c>
      <c r="AA35" s="169">
        <f t="shared" si="31"/>
        <v>0</v>
      </c>
      <c r="AB35" s="169">
        <f t="shared" si="32"/>
        <v>0</v>
      </c>
      <c r="AC35" s="169">
        <f t="shared" si="33"/>
        <v>0</v>
      </c>
      <c r="AD35" s="169">
        <f t="shared" si="34"/>
        <v>0</v>
      </c>
      <c r="AE35" s="169">
        <f t="shared" si="35"/>
        <v>0</v>
      </c>
      <c r="AF35" s="169">
        <f t="shared" si="36"/>
        <v>0</v>
      </c>
      <c r="AG35" s="169">
        <f t="shared" si="37"/>
        <v>0</v>
      </c>
      <c r="AH35" s="169">
        <f t="shared" si="38"/>
        <v>0</v>
      </c>
      <c r="AI35" s="169">
        <f t="shared" si="39"/>
        <v>0</v>
      </c>
      <c r="AJ35" s="169">
        <f t="shared" si="40"/>
        <v>0</v>
      </c>
      <c r="AK35" s="169">
        <f t="shared" si="41"/>
        <v>0</v>
      </c>
      <c r="AL35" s="169">
        <f t="shared" si="42"/>
        <v>0</v>
      </c>
      <c r="AM35" s="169">
        <f t="shared" si="43"/>
        <v>0</v>
      </c>
      <c r="AN35" s="169">
        <f t="shared" si="44"/>
        <v>0</v>
      </c>
      <c r="AO35" s="169">
        <f t="shared" si="45"/>
        <v>0</v>
      </c>
      <c r="AP35" s="169">
        <f t="shared" si="46"/>
        <v>0</v>
      </c>
      <c r="AQ35" s="169">
        <f t="shared" si="47"/>
        <v>0</v>
      </c>
      <c r="AR35" s="166"/>
      <c r="AS35" s="239">
        <f t="shared" si="8"/>
        <v>0</v>
      </c>
    </row>
    <row r="36" spans="1:45" s="160" customFormat="1" ht="12.75" customHeight="1">
      <c r="A36" s="231"/>
      <c r="B36" s="240"/>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6"/>
      <c r="AS36" s="166"/>
    </row>
    <row r="37" spans="1:45" s="160" customFormat="1" ht="14.25" customHeight="1">
      <c r="A37" s="231"/>
      <c r="B37" s="558" t="s">
        <v>218</v>
      </c>
      <c r="C37" s="160" t="str">
        <f>Loans!F8</f>
        <v>EBS Mortgage</v>
      </c>
      <c r="D37" s="169">
        <f>IF(Loans!S16*12&lt;&gt;0,Loans!S16*-12,"")</f>
        <v>7002.874277322635</v>
      </c>
      <c r="E37" s="169">
        <f>IF(Loans!T16*12&lt;&gt;0,Loans!T16*-12,"")</f>
        <v>7002.874277322648</v>
      </c>
      <c r="F37" s="169">
        <f>IF(Loans!U16*12&lt;&gt;0,Loans!U16*-12,"")</f>
        <v>7002.874277322661</v>
      </c>
      <c r="G37" s="169">
        <f>IF(Loans!V16*12&lt;&gt;0,Loans!V16*-12,"")</f>
        <v>7002.874277322675</v>
      </c>
      <c r="H37" s="169">
        <f>IF(Loans!W16*12&lt;&gt;0,Loans!W16*-12,"")</f>
        <v>7002.8742773226895</v>
      </c>
      <c r="I37" s="169">
        <f>IF(Loans!X16*12&lt;&gt;0,Loans!X16*-12,"")</f>
        <v>7002.874277322706</v>
      </c>
      <c r="J37" s="169">
        <f>IF(Loans!Y16*12&lt;&gt;0,Loans!Y16*-12,"")</f>
        <v>7002.874277322724</v>
      </c>
      <c r="K37" s="169">
        <f>IF(Loans!Z16*12&lt;&gt;0,Loans!Z16*-12,"")</f>
        <v>7002.87427732274</v>
      </c>
      <c r="L37" s="169">
        <f>IF(Loans!AA16*12&lt;&gt;0,Loans!AA16*-12,"")</f>
        <v>7002.874277322757</v>
      </c>
      <c r="M37" s="169">
        <f>IF(Loans!AB16*12&lt;&gt;0,Loans!AB16*-12,"")</f>
        <v>7002.874277322775</v>
      </c>
      <c r="N37" s="169">
        <f>IF(Loans!AC16*12&lt;&gt;0,Loans!AC16*-12,"")</f>
        <v>7002.874277322792</v>
      </c>
      <c r="O37" s="169">
        <f>IF(Loans!AD16*12&lt;&gt;0,Loans!AD16*-12,"")</f>
        <v>7002.874277322811</v>
      </c>
      <c r="P37" s="169">
        <f>IF(Loans!AE16*12&lt;&gt;0,Loans!AE16*-12,"")</f>
        <v>7002.8742773228305</v>
      </c>
      <c r="Q37" s="169">
        <f>IF(Loans!AF16*12&lt;&gt;0,Loans!AF16*-12,"")</f>
        <v>7002.87427732285</v>
      </c>
      <c r="R37" s="169">
        <f>IF(Loans!AG16*12&lt;&gt;0,Loans!AG16*-12,"")</f>
        <v>7002.87427732287</v>
      </c>
      <c r="S37" s="169">
        <f>IF(Loans!AH16*12&lt;&gt;0,Loans!AH16*-12,"")</f>
        <v>7002.874277322891</v>
      </c>
      <c r="T37" s="169">
        <f>IF(Loans!AI16*12&lt;&gt;0,Loans!AI16*-12,"")</f>
        <v>7002.874277322915</v>
      </c>
      <c r="U37" s="169">
        <f>IF(Loans!AJ16*12&lt;&gt;0,Loans!AJ16*-12,"")</f>
        <v>7002.874277322937</v>
      </c>
      <c r="V37" s="169">
        <f>IF(Loans!AK16*12&lt;&gt;0,Loans!AK16*-12,"")</f>
        <v>7002.8742773229615</v>
      </c>
      <c r="W37" s="169">
        <f>IF(Loans!AL16*12&lt;&gt;0,Loans!AL16*-12,"")</f>
        <v>7002.874277322988</v>
      </c>
      <c r="X37" s="169">
        <f>IF(Loans!AM16*12&lt;&gt;0,Loans!AM16*-12,"")</f>
        <v>7002.8742773230115</v>
      </c>
      <c r="Y37" s="169">
        <f>IF(Loans!AN16*12&lt;&gt;0,Loans!AN16*-12,"")</f>
        <v>7002.874277323039</v>
      </c>
      <c r="Z37" s="169">
        <f>IF(Loans!AO16*12&lt;&gt;0,Loans!AO16*-12,"")</f>
        <v>7002.874277323068</v>
      </c>
      <c r="AA37" s="169">
        <f>IF(Loans!AP16*12&lt;&gt;0,Loans!AP16*-12,"")</f>
        <v>7002.874277323095</v>
      </c>
      <c r="AB37" s="169">
        <f>IF(Loans!AQ16*12&lt;&gt;0,Loans!AQ16*-12,"")</f>
        <v>7002.874277323124</v>
      </c>
      <c r="AC37" s="169">
        <f>IF(Loans!AR16*12&lt;&gt;0,Loans!AR16*-12,"")</f>
        <v>7002.8742773231525</v>
      </c>
      <c r="AD37" s="169">
        <f>IF(Loans!AS16*12&lt;&gt;0,Loans!AS16*-12,"")</f>
        <v>7002.8742773231825</v>
      </c>
      <c r="AE37" s="169">
        <f>IF(Loans!AT16*12&lt;&gt;0,Loans!AT16*-12,"")</f>
        <v>7002.874277323213</v>
      </c>
      <c r="AF37" s="169">
        <f>IF(Loans!AU16*12&lt;&gt;0,Loans!AU16*-12,"")</f>
        <v>7002.87427732325</v>
      </c>
      <c r="AG37" s="169">
        <f>IF(Loans!AV16*12&lt;&gt;0,Loans!AV16*-12,"")</f>
        <v>7002.874277323289</v>
      </c>
      <c r="AH37" s="169">
        <f>IF(Loans!AW16*12&lt;&gt;0,Loans!AW16*-12,"")</f>
      </c>
      <c r="AI37" s="169">
        <f>IF(Loans!AX16*12&lt;&gt;0,Loans!AX16*-12,"")</f>
      </c>
      <c r="AJ37" s="169">
        <f>IF(Loans!AY16*12&lt;&gt;0,Loans!AY16*-12,"")</f>
      </c>
      <c r="AK37" s="169">
        <f>IF(Loans!AZ16*12&lt;&gt;0,Loans!AZ16*-12,"")</f>
      </c>
      <c r="AL37" s="169">
        <f>IF(Loans!BA16*12&lt;&gt;0,Loans!BA16*-12,"")</f>
      </c>
      <c r="AM37" s="169">
        <f>IF(Loans!BB16*12&lt;&gt;0,Loans!BB16*-12,"")</f>
      </c>
      <c r="AN37" s="169">
        <f>IF(Loans!BC16*12&lt;&gt;0,Loans!BC16*-12,"")</f>
      </c>
      <c r="AO37" s="169">
        <f>IF(Loans!BD16*12&lt;&gt;0,Loans!BD16*-12,"")</f>
      </c>
      <c r="AP37" s="169">
        <f>IF(Loans!BE16*12&lt;&gt;0,Loans!BE16*-12,"")</f>
      </c>
      <c r="AQ37" s="169">
        <f>IF(Loans!BF16*12&lt;&gt;0,Loans!BF16*-12,"")</f>
      </c>
      <c r="AR37" s="166"/>
      <c r="AS37" s="239">
        <f>SUM(D37:AQ37)</f>
        <v>210086.22831968736</v>
      </c>
    </row>
    <row r="38" spans="1:45" s="160" customFormat="1" ht="14.25" customHeight="1">
      <c r="A38" s="231"/>
      <c r="B38" s="558"/>
      <c r="C38" s="160" t="str">
        <f>Loans!F9</f>
        <v>Radical Routes Loan</v>
      </c>
      <c r="D38" s="169">
        <f>IF(Loans!S17*12&lt;&gt;0,Loans!S17*-12,"")</f>
      </c>
      <c r="E38" s="169">
        <f>IF(Loans!T17*12&lt;&gt;0,Loans!T17*-12,"")</f>
      </c>
      <c r="F38" s="169">
        <f>IF(Loans!U17*12&lt;&gt;0,Loans!U17*-12,"")</f>
      </c>
      <c r="G38" s="169">
        <f>IF(Loans!V17*12&lt;&gt;0,Loans!V17*-12,"")</f>
      </c>
      <c r="H38" s="169">
        <f>IF(Loans!W17*12&lt;&gt;0,Loans!W17*-12,"")</f>
      </c>
      <c r="I38" s="169">
        <f>IF(Loans!X17*12&lt;&gt;0,Loans!X17*-12,"")</f>
      </c>
      <c r="J38" s="169">
        <f>IF(Loans!Y17*12&lt;&gt;0,Loans!Y17*-12,"")</f>
      </c>
      <c r="K38" s="169">
        <f>IF(Loans!Z17*12&lt;&gt;0,Loans!Z17*-12,"")</f>
      </c>
      <c r="L38" s="169">
        <f>IF(Loans!AA17*12&lt;&gt;0,Loans!AA17*-12,"")</f>
      </c>
      <c r="M38" s="169">
        <f>IF(Loans!AB17*12&lt;&gt;0,Loans!AB17*-12,"")</f>
      </c>
      <c r="N38" s="169">
        <f>IF(Loans!AC17*12&lt;&gt;0,Loans!AC17*-12,"")</f>
      </c>
      <c r="O38" s="169">
        <f>IF(Loans!AD17*12&lt;&gt;0,Loans!AD17*-12,"")</f>
      </c>
      <c r="P38" s="169">
        <f>IF(Loans!AE17*12&lt;&gt;0,Loans!AE17*-12,"")</f>
      </c>
      <c r="Q38" s="169">
        <f>IF(Loans!AF17*12&lt;&gt;0,Loans!AF17*-12,"")</f>
      </c>
      <c r="R38" s="169">
        <f>IF(Loans!AG17*12&lt;&gt;0,Loans!AG17*-12,"")</f>
      </c>
      <c r="S38" s="169">
        <f>IF(Loans!AH17*12&lt;&gt;0,Loans!AH17*-12,"")</f>
      </c>
      <c r="T38" s="169">
        <f>IF(Loans!AI17*12&lt;&gt;0,Loans!AI17*-12,"")</f>
      </c>
      <c r="U38" s="169">
        <f>IF(Loans!AJ17*12&lt;&gt;0,Loans!AJ17*-12,"")</f>
      </c>
      <c r="V38" s="169">
        <f>IF(Loans!AK17*12&lt;&gt;0,Loans!AK17*-12,"")</f>
      </c>
      <c r="W38" s="169">
        <f>IF(Loans!AL17*12&lt;&gt;0,Loans!AL17*-12,"")</f>
      </c>
      <c r="X38" s="169">
        <f>IF(Loans!AM17*12&lt;&gt;0,Loans!AM17*-12,"")</f>
      </c>
      <c r="Y38" s="169">
        <f>IF(Loans!AN17*12&lt;&gt;0,Loans!AN17*-12,"")</f>
      </c>
      <c r="Z38" s="169">
        <f>IF(Loans!AO17*12&lt;&gt;0,Loans!AO17*-12,"")</f>
      </c>
      <c r="AA38" s="169">
        <f>IF(Loans!AP17*12&lt;&gt;0,Loans!AP17*-12,"")</f>
      </c>
      <c r="AB38" s="169">
        <f>IF(Loans!AQ17*12&lt;&gt;0,Loans!AQ17*-12,"")</f>
      </c>
      <c r="AC38" s="169">
        <f>IF(Loans!AR17*12&lt;&gt;0,Loans!AR17*-12,"")</f>
      </c>
      <c r="AD38" s="169">
        <f>IF(Loans!AS17*12&lt;&gt;0,Loans!AS17*-12,"")</f>
      </c>
      <c r="AE38" s="169">
        <f>IF(Loans!AT17*12&lt;&gt;0,Loans!AT17*-12,"")</f>
      </c>
      <c r="AF38" s="169">
        <f>IF(Loans!AU17*12&lt;&gt;0,Loans!AU17*-12,"")</f>
      </c>
      <c r="AG38" s="169">
        <f>IF(Loans!AV17*12&lt;&gt;0,Loans!AV17*-12,"")</f>
      </c>
      <c r="AH38" s="169">
        <f>IF(Loans!AW17*12&lt;&gt;0,Loans!AW17*-12,"")</f>
      </c>
      <c r="AI38" s="169">
        <f>IF(Loans!AX17*12&lt;&gt;0,Loans!AX17*-12,"")</f>
      </c>
      <c r="AJ38" s="169">
        <f>IF(Loans!AY17*12&lt;&gt;0,Loans!AY17*-12,"")</f>
      </c>
      <c r="AK38" s="169">
        <f>IF(Loans!AZ17*12&lt;&gt;0,Loans!AZ17*-12,"")</f>
      </c>
      <c r="AL38" s="169">
        <f>IF(Loans!BA17*12&lt;&gt;0,Loans!BA17*-12,"")</f>
      </c>
      <c r="AM38" s="169">
        <f>IF(Loans!BB17*12&lt;&gt;0,Loans!BB17*-12,"")</f>
      </c>
      <c r="AN38" s="169">
        <f>IF(Loans!BC17*12&lt;&gt;0,Loans!BC17*-12,"")</f>
      </c>
      <c r="AO38" s="169">
        <f>IF(Loans!BD17*12&lt;&gt;0,Loans!BD17*-12,"")</f>
      </c>
      <c r="AP38" s="169">
        <f>IF(Loans!BE17*12&lt;&gt;0,Loans!BE17*-12,"")</f>
      </c>
      <c r="AQ38" s="169">
        <f>IF(Loans!BF17*12&lt;&gt;0,Loans!BF17*-12,"")</f>
      </c>
      <c r="AR38" s="166"/>
      <c r="AS38" s="239">
        <f>SUM(D38:AQ38)</f>
        <v>0</v>
      </c>
    </row>
    <row r="39" spans="1:45" s="160" customFormat="1" ht="14.25" customHeight="1">
      <c r="A39" s="231"/>
      <c r="B39" s="558"/>
      <c r="C39" s="160">
        <f>Loans!F10</f>
        <v>0</v>
      </c>
      <c r="D39" s="169">
        <f>IF(Loans!S18*12&lt;&gt;0,Loans!S18*-12,"")</f>
      </c>
      <c r="E39" s="169">
        <f>IF(Loans!T18*12&lt;&gt;0,Loans!T18*-12,"")</f>
      </c>
      <c r="F39" s="169">
        <f>IF(Loans!U18*12&lt;&gt;0,Loans!U18*-12,"")</f>
      </c>
      <c r="G39" s="169">
        <f>IF(Loans!V18*12&lt;&gt;0,Loans!V18*-12,"")</f>
      </c>
      <c r="H39" s="169">
        <f>IF(Loans!W18*12&lt;&gt;0,Loans!W18*-12,"")</f>
      </c>
      <c r="I39" s="169">
        <f>IF(Loans!X18*12&lt;&gt;0,Loans!X18*-12,"")</f>
      </c>
      <c r="J39" s="169">
        <f>IF(Loans!Y18*12&lt;&gt;0,Loans!Y18*-12,"")</f>
      </c>
      <c r="K39" s="169">
        <f>IF(Loans!Z18*12&lt;&gt;0,Loans!Z18*-12,"")</f>
      </c>
      <c r="L39" s="169">
        <f>IF(Loans!AA18*12&lt;&gt;0,Loans!AA18*-12,"")</f>
      </c>
      <c r="M39" s="169">
        <f>IF(Loans!AB18*12&lt;&gt;0,Loans!AB18*-12,"")</f>
      </c>
      <c r="N39" s="169">
        <f>IF(Loans!AC18*12&lt;&gt;0,Loans!AC18*-12,"")</f>
      </c>
      <c r="O39" s="169">
        <f>IF(Loans!AD18*12&lt;&gt;0,Loans!AD18*-12,"")</f>
      </c>
      <c r="P39" s="169">
        <f>IF(Loans!AE18*12&lt;&gt;0,Loans!AE18*-12,"")</f>
      </c>
      <c r="Q39" s="169">
        <f>IF(Loans!AF18*12&lt;&gt;0,Loans!AF18*-12,"")</f>
      </c>
      <c r="R39" s="169">
        <f>IF(Loans!AG18*12&lt;&gt;0,Loans!AG18*-12,"")</f>
      </c>
      <c r="S39" s="169">
        <f>IF(Loans!AH18*12&lt;&gt;0,Loans!AH18*-12,"")</f>
      </c>
      <c r="T39" s="169">
        <f>IF(Loans!AI18*12&lt;&gt;0,Loans!AI18*-12,"")</f>
      </c>
      <c r="U39" s="169">
        <f>IF(Loans!AJ18*12&lt;&gt;0,Loans!AJ18*-12,"")</f>
      </c>
      <c r="V39" s="169">
        <f>IF(Loans!AK18*12&lt;&gt;0,Loans!AK18*-12,"")</f>
      </c>
      <c r="W39" s="169">
        <f>IF(Loans!AL18*12&lt;&gt;0,Loans!AL18*-12,"")</f>
      </c>
      <c r="X39" s="169">
        <f>IF(Loans!AM18*12&lt;&gt;0,Loans!AM18*-12,"")</f>
      </c>
      <c r="Y39" s="169">
        <f>IF(Loans!AN18*12&lt;&gt;0,Loans!AN18*-12,"")</f>
      </c>
      <c r="Z39" s="169">
        <f>IF(Loans!AO18*12&lt;&gt;0,Loans!AO18*-12,"")</f>
      </c>
      <c r="AA39" s="169">
        <f>IF(Loans!AP18*12&lt;&gt;0,Loans!AP18*-12,"")</f>
      </c>
      <c r="AB39" s="169">
        <f>IF(Loans!AQ18*12&lt;&gt;0,Loans!AQ18*-12,"")</f>
      </c>
      <c r="AC39" s="169">
        <f>IF(Loans!AR18*12&lt;&gt;0,Loans!AR18*-12,"")</f>
      </c>
      <c r="AD39" s="169">
        <f>IF(Loans!AS18*12&lt;&gt;0,Loans!AS18*-12,"")</f>
      </c>
      <c r="AE39" s="169">
        <f>IF(Loans!AT18*12&lt;&gt;0,Loans!AT18*-12,"")</f>
      </c>
      <c r="AF39" s="169">
        <f>IF(Loans!AU18*12&lt;&gt;0,Loans!AU18*-12,"")</f>
      </c>
      <c r="AG39" s="169">
        <f>IF(Loans!AV18*12&lt;&gt;0,Loans!AV18*-12,"")</f>
      </c>
      <c r="AH39" s="169">
        <f>IF(Loans!AW18*12&lt;&gt;0,Loans!AW18*-12,"")</f>
      </c>
      <c r="AI39" s="169">
        <f>IF(Loans!AX18*12&lt;&gt;0,Loans!AX18*-12,"")</f>
      </c>
      <c r="AJ39" s="169">
        <f>IF(Loans!AY18*12&lt;&gt;0,Loans!AY18*-12,"")</f>
      </c>
      <c r="AK39" s="169">
        <f>IF(Loans!AZ18*12&lt;&gt;0,Loans!AZ18*-12,"")</f>
      </c>
      <c r="AL39" s="169">
        <f>IF(Loans!BA18*12&lt;&gt;0,Loans!BA18*-12,"")</f>
      </c>
      <c r="AM39" s="169">
        <f>IF(Loans!BB18*12&lt;&gt;0,Loans!BB18*-12,"")</f>
      </c>
      <c r="AN39" s="169">
        <f>IF(Loans!BC18*12&lt;&gt;0,Loans!BC18*-12,"")</f>
      </c>
      <c r="AO39" s="169">
        <f>IF(Loans!BD18*12&lt;&gt;0,Loans!BD18*-12,"")</f>
      </c>
      <c r="AP39" s="169">
        <f>IF(Loans!BE18*12&lt;&gt;0,Loans!BE18*-12,"")</f>
      </c>
      <c r="AQ39" s="169">
        <f>IF(Loans!BF18*12&lt;&gt;0,Loans!BF18*-12,"")</f>
      </c>
      <c r="AR39" s="166"/>
      <c r="AS39" s="239">
        <f>SUM(D39:AQ39)</f>
        <v>0</v>
      </c>
    </row>
    <row r="40" spans="1:45" s="160" customFormat="1" ht="14.25" customHeight="1">
      <c r="A40" s="231"/>
      <c r="B40" s="558"/>
      <c r="C40" s="160">
        <f>Loans!F11</f>
        <v>0</v>
      </c>
      <c r="D40" s="169">
        <f>IF(Loans!S19*12&lt;&gt;0,Loans!S19*-12,"")</f>
      </c>
      <c r="E40" s="169">
        <f>IF(Loans!T19*12&lt;&gt;0,Loans!T19*-12,"")</f>
      </c>
      <c r="F40" s="169">
        <f>IF(Loans!U19*12&lt;&gt;0,Loans!U19*-12,"")</f>
      </c>
      <c r="G40" s="169">
        <f>IF(Loans!V19*12&lt;&gt;0,Loans!V19*-12,"")</f>
      </c>
      <c r="H40" s="169">
        <f>IF(Loans!W19*12&lt;&gt;0,Loans!W19*-12,"")</f>
      </c>
      <c r="I40" s="169">
        <f>IF(Loans!X19*12&lt;&gt;0,Loans!X19*-12,"")</f>
      </c>
      <c r="J40" s="169">
        <f>IF(Loans!Y19*12&lt;&gt;0,Loans!Y19*-12,"")</f>
      </c>
      <c r="K40" s="169">
        <f>IF(Loans!Z19*12&lt;&gt;0,Loans!Z19*-12,"")</f>
      </c>
      <c r="L40" s="169">
        <f>IF(Loans!AA19*12&lt;&gt;0,Loans!AA19*-12,"")</f>
      </c>
      <c r="M40" s="169">
        <f>IF(Loans!AB19*12&lt;&gt;0,Loans!AB19*-12,"")</f>
      </c>
      <c r="N40" s="169">
        <f>IF(Loans!AC19*12&lt;&gt;0,Loans!AC19*-12,"")</f>
      </c>
      <c r="O40" s="169">
        <f>IF(Loans!AD19*12&lt;&gt;0,Loans!AD19*-12,"")</f>
      </c>
      <c r="P40" s="169">
        <f>IF(Loans!AE19*12&lt;&gt;0,Loans!AE19*-12,"")</f>
      </c>
      <c r="Q40" s="169">
        <f>IF(Loans!AF19*12&lt;&gt;0,Loans!AF19*-12,"")</f>
      </c>
      <c r="R40" s="169">
        <f>IF(Loans!AG19*12&lt;&gt;0,Loans!AG19*-12,"")</f>
      </c>
      <c r="S40" s="169">
        <f>IF(Loans!AH19*12&lt;&gt;0,Loans!AH19*-12,"")</f>
      </c>
      <c r="T40" s="169">
        <f>IF(Loans!AI19*12&lt;&gt;0,Loans!AI19*-12,"")</f>
      </c>
      <c r="U40" s="169">
        <f>IF(Loans!AJ19*12&lt;&gt;0,Loans!AJ19*-12,"")</f>
      </c>
      <c r="V40" s="169">
        <f>IF(Loans!AK19*12&lt;&gt;0,Loans!AK19*-12,"")</f>
      </c>
      <c r="W40" s="169">
        <f>IF(Loans!AL19*12&lt;&gt;0,Loans!AL19*-12,"")</f>
      </c>
      <c r="X40" s="169">
        <f>IF(Loans!AM19*12&lt;&gt;0,Loans!AM19*-12,"")</f>
      </c>
      <c r="Y40" s="169">
        <f>IF(Loans!AN19*12&lt;&gt;0,Loans!AN19*-12,"")</f>
      </c>
      <c r="Z40" s="169">
        <f>IF(Loans!AO19*12&lt;&gt;0,Loans!AO19*-12,"")</f>
      </c>
      <c r="AA40" s="169">
        <f>IF(Loans!AP19*12&lt;&gt;0,Loans!AP19*-12,"")</f>
      </c>
      <c r="AB40" s="169">
        <f>IF(Loans!AQ19*12&lt;&gt;0,Loans!AQ19*-12,"")</f>
      </c>
      <c r="AC40" s="169">
        <f>IF(Loans!AR19*12&lt;&gt;0,Loans!AR19*-12,"")</f>
      </c>
      <c r="AD40" s="169">
        <f>IF(Loans!AS19*12&lt;&gt;0,Loans!AS19*-12,"")</f>
      </c>
      <c r="AE40" s="169">
        <f>IF(Loans!AT19*12&lt;&gt;0,Loans!AT19*-12,"")</f>
      </c>
      <c r="AF40" s="169">
        <f>IF(Loans!AU19*12&lt;&gt;0,Loans!AU19*-12,"")</f>
      </c>
      <c r="AG40" s="169">
        <f>IF(Loans!AV19*12&lt;&gt;0,Loans!AV19*-12,"")</f>
      </c>
      <c r="AH40" s="169">
        <f>IF(Loans!AW19*12&lt;&gt;0,Loans!AW19*-12,"")</f>
      </c>
      <c r="AI40" s="169">
        <f>IF(Loans!AX19*12&lt;&gt;0,Loans!AX19*-12,"")</f>
      </c>
      <c r="AJ40" s="169">
        <f>IF(Loans!AY19*12&lt;&gt;0,Loans!AY19*-12,"")</f>
      </c>
      <c r="AK40" s="169">
        <f>IF(Loans!AZ19*12&lt;&gt;0,Loans!AZ19*-12,"")</f>
      </c>
      <c r="AL40" s="169">
        <f>IF(Loans!BA19*12&lt;&gt;0,Loans!BA19*-12,"")</f>
      </c>
      <c r="AM40" s="169">
        <f>IF(Loans!BB19*12&lt;&gt;0,Loans!BB19*-12,"")</f>
      </c>
      <c r="AN40" s="169">
        <f>IF(Loans!BC19*12&lt;&gt;0,Loans!BC19*-12,"")</f>
      </c>
      <c r="AO40" s="169">
        <f>IF(Loans!BD19*12&lt;&gt;0,Loans!BD19*-12,"")</f>
      </c>
      <c r="AP40" s="169">
        <f>IF(Loans!BE19*12&lt;&gt;0,Loans!BE19*-12,"")</f>
      </c>
      <c r="AQ40" s="169">
        <f>IF(Loans!BF19*12&lt;&gt;0,Loans!BF19*-12,"")</f>
      </c>
      <c r="AR40" s="166"/>
      <c r="AS40" s="239">
        <f>SUM(D40:AQ40)</f>
        <v>0</v>
      </c>
    </row>
    <row r="41" spans="1:45" s="160" customFormat="1" ht="12.75" customHeight="1">
      <c r="A41" s="231"/>
      <c r="B41" s="558"/>
      <c r="C41" s="241" t="s">
        <v>219</v>
      </c>
      <c r="D41" s="169">
        <f aca="true" t="shared" si="48" ref="D41:AQ41">SUM(D37:D40)</f>
        <v>7002.874277322635</v>
      </c>
      <c r="E41" s="169">
        <f t="shared" si="48"/>
        <v>7002.874277322648</v>
      </c>
      <c r="F41" s="169">
        <f t="shared" si="48"/>
        <v>7002.874277322661</v>
      </c>
      <c r="G41" s="169">
        <f t="shared" si="48"/>
        <v>7002.874277322675</v>
      </c>
      <c r="H41" s="169">
        <f t="shared" si="48"/>
        <v>7002.8742773226895</v>
      </c>
      <c r="I41" s="169">
        <f t="shared" si="48"/>
        <v>7002.874277322706</v>
      </c>
      <c r="J41" s="169">
        <f t="shared" si="48"/>
        <v>7002.874277322724</v>
      </c>
      <c r="K41" s="169">
        <f t="shared" si="48"/>
        <v>7002.87427732274</v>
      </c>
      <c r="L41" s="169">
        <f t="shared" si="48"/>
        <v>7002.874277322757</v>
      </c>
      <c r="M41" s="169">
        <f t="shared" si="48"/>
        <v>7002.874277322775</v>
      </c>
      <c r="N41" s="169">
        <f t="shared" si="48"/>
        <v>7002.874277322792</v>
      </c>
      <c r="O41" s="169">
        <f t="shared" si="48"/>
        <v>7002.874277322811</v>
      </c>
      <c r="P41" s="169">
        <f t="shared" si="48"/>
        <v>7002.8742773228305</v>
      </c>
      <c r="Q41" s="169">
        <f t="shared" si="48"/>
        <v>7002.87427732285</v>
      </c>
      <c r="R41" s="169">
        <f t="shared" si="48"/>
        <v>7002.87427732287</v>
      </c>
      <c r="S41" s="169">
        <f t="shared" si="48"/>
        <v>7002.874277322891</v>
      </c>
      <c r="T41" s="169">
        <f t="shared" si="48"/>
        <v>7002.874277322915</v>
      </c>
      <c r="U41" s="169">
        <f t="shared" si="48"/>
        <v>7002.874277322937</v>
      </c>
      <c r="V41" s="169">
        <f t="shared" si="48"/>
        <v>7002.8742773229615</v>
      </c>
      <c r="W41" s="169">
        <f t="shared" si="48"/>
        <v>7002.874277322988</v>
      </c>
      <c r="X41" s="169">
        <f t="shared" si="48"/>
        <v>7002.8742773230115</v>
      </c>
      <c r="Y41" s="169">
        <f t="shared" si="48"/>
        <v>7002.874277323039</v>
      </c>
      <c r="Z41" s="169">
        <f t="shared" si="48"/>
        <v>7002.874277323068</v>
      </c>
      <c r="AA41" s="169">
        <f t="shared" si="48"/>
        <v>7002.874277323095</v>
      </c>
      <c r="AB41" s="169">
        <f t="shared" si="48"/>
        <v>7002.874277323124</v>
      </c>
      <c r="AC41" s="169">
        <f t="shared" si="48"/>
        <v>7002.8742773231525</v>
      </c>
      <c r="AD41" s="169">
        <f t="shared" si="48"/>
        <v>7002.8742773231825</v>
      </c>
      <c r="AE41" s="169">
        <f t="shared" si="48"/>
        <v>7002.874277323213</v>
      </c>
      <c r="AF41" s="169">
        <f t="shared" si="48"/>
        <v>7002.87427732325</v>
      </c>
      <c r="AG41" s="169">
        <f t="shared" si="48"/>
        <v>7002.874277323289</v>
      </c>
      <c r="AH41" s="169">
        <f t="shared" si="48"/>
        <v>0</v>
      </c>
      <c r="AI41" s="169">
        <f t="shared" si="48"/>
        <v>0</v>
      </c>
      <c r="AJ41" s="169">
        <f t="shared" si="48"/>
        <v>0</v>
      </c>
      <c r="AK41" s="169">
        <f t="shared" si="48"/>
        <v>0</v>
      </c>
      <c r="AL41" s="169">
        <f t="shared" si="48"/>
        <v>0</v>
      </c>
      <c r="AM41" s="169">
        <f t="shared" si="48"/>
        <v>0</v>
      </c>
      <c r="AN41" s="169">
        <f t="shared" si="48"/>
        <v>0</v>
      </c>
      <c r="AO41" s="169">
        <f t="shared" si="48"/>
        <v>0</v>
      </c>
      <c r="AP41" s="169">
        <f t="shared" si="48"/>
        <v>0</v>
      </c>
      <c r="AQ41" s="169">
        <f t="shared" si="48"/>
        <v>0</v>
      </c>
      <c r="AR41" s="169"/>
      <c r="AS41" s="169"/>
    </row>
    <row r="42" spans="1:45" s="160" customFormat="1" ht="12.75" customHeight="1">
      <c r="A42" s="231"/>
      <c r="B42" s="222"/>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row>
    <row r="43" spans="1:45" s="245" customFormat="1" ht="12.75" customHeight="1">
      <c r="A43" s="231"/>
      <c r="B43" s="242"/>
      <c r="C43" s="243" t="s">
        <v>220</v>
      </c>
      <c r="D43" s="244">
        <f>SUM(D26:D26)+SUM(D28:D35)+SUM(D37:D40)</f>
        <v>7002.874277322635</v>
      </c>
      <c r="E43" s="244">
        <f aca="true" t="shared" si="49" ref="E43:AQ43">SUM(E27)+SUM(E28:E35)+SUM(E37:E40)</f>
        <v>8238.874277322648</v>
      </c>
      <c r="F43" s="244">
        <f t="shared" si="49"/>
        <v>8275.95427732266</v>
      </c>
      <c r="G43" s="244">
        <f t="shared" si="49"/>
        <v>8314.146677322675</v>
      </c>
      <c r="H43" s="244">
        <f t="shared" si="49"/>
        <v>8379.58484932269</v>
      </c>
      <c r="I43" s="244">
        <f t="shared" si="49"/>
        <v>8420.103166482706</v>
      </c>
      <c r="J43" s="244">
        <f t="shared" si="49"/>
        <v>8461.837033157524</v>
      </c>
      <c r="K43" s="244">
        <f t="shared" si="49"/>
        <v>8504.822915832585</v>
      </c>
      <c r="L43" s="244">
        <f t="shared" si="49"/>
        <v>8549.098374987896</v>
      </c>
      <c r="M43" s="244">
        <f t="shared" si="49"/>
        <v>18620.80209791787</v>
      </c>
      <c r="N43" s="244">
        <f t="shared" si="49"/>
        <v>8667.77393253574</v>
      </c>
      <c r="O43" s="244">
        <f t="shared" si="49"/>
        <v>8716.154922192147</v>
      </c>
      <c r="P43" s="244">
        <f t="shared" si="49"/>
        <v>8765.987341538246</v>
      </c>
      <c r="Q43" s="244">
        <f t="shared" si="49"/>
        <v>8817.314733464727</v>
      </c>
      <c r="R43" s="244">
        <f t="shared" si="49"/>
        <v>8896.281947149004</v>
      </c>
      <c r="S43" s="244">
        <f t="shared" si="49"/>
        <v>8950.735177243809</v>
      </c>
      <c r="T43" s="244">
        <f t="shared" si="49"/>
        <v>9006.822004241461</v>
      </c>
      <c r="U43" s="244">
        <f t="shared" si="49"/>
        <v>9064.591436049039</v>
      </c>
      <c r="V43" s="244">
        <f t="shared" si="49"/>
        <v>9124.093950810846</v>
      </c>
      <c r="W43" s="244">
        <f t="shared" si="49"/>
        <v>19211.48154101551</v>
      </c>
      <c r="X43" s="244">
        <f t="shared" si="49"/>
        <v>9274.607758926308</v>
      </c>
      <c r="Y43" s="244">
        <f t="shared" si="49"/>
        <v>9339.627763374436</v>
      </c>
      <c r="Z43" s="244">
        <f t="shared" si="49"/>
        <v>9406.598367956005</v>
      </c>
      <c r="AA43" s="244">
        <f t="shared" si="49"/>
        <v>9475.578090675022</v>
      </c>
      <c r="AB43" s="244">
        <f t="shared" si="49"/>
        <v>9572.727205075607</v>
      </c>
      <c r="AC43" s="244">
        <f t="shared" si="49"/>
        <v>9645.90779290821</v>
      </c>
      <c r="AD43" s="244">
        <f t="shared" si="49"/>
        <v>9721.283798375793</v>
      </c>
      <c r="AE43" s="244">
        <f t="shared" si="49"/>
        <v>9798.921084007401</v>
      </c>
      <c r="AF43" s="244">
        <f t="shared" si="49"/>
        <v>9878.887488207964</v>
      </c>
      <c r="AG43" s="244">
        <f t="shared" si="49"/>
        <v>19987.352884534543</v>
      </c>
      <c r="AH43" s="244">
        <f t="shared" si="49"/>
        <v>3069.3149654275935</v>
      </c>
      <c r="AI43" s="244">
        <f t="shared" si="49"/>
        <v>3156.6964143904215</v>
      </c>
      <c r="AJ43" s="244">
        <f t="shared" si="49"/>
        <v>3246.699306822134</v>
      </c>
      <c r="AK43" s="244">
        <f t="shared" si="49"/>
        <v>3339.4022860267983</v>
      </c>
      <c r="AL43" s="244">
        <f t="shared" si="49"/>
        <v>3460.986354607602</v>
      </c>
      <c r="AM43" s="244">
        <f t="shared" si="49"/>
        <v>3559.33494524583</v>
      </c>
      <c r="AN43" s="244">
        <f t="shared" si="49"/>
        <v>3660.633993603205</v>
      </c>
      <c r="AO43" s="244">
        <f t="shared" si="49"/>
        <v>3764.9720134113013</v>
      </c>
      <c r="AP43" s="244">
        <f t="shared" si="49"/>
        <v>3872.4401738136403</v>
      </c>
      <c r="AQ43" s="244">
        <f t="shared" si="49"/>
        <v>4009.2323790280498</v>
      </c>
      <c r="AR43" s="188"/>
      <c r="AS43" s="188">
        <f>SUM(D43:AR43)</f>
        <v>333230.5399996504</v>
      </c>
    </row>
    <row r="44" spans="1:43" s="217" customFormat="1" ht="15.75" customHeight="1">
      <c r="A44" s="215"/>
      <c r="B44" s="216"/>
      <c r="C44" s="217" t="s">
        <v>98</v>
      </c>
      <c r="D44" s="217">
        <v>1</v>
      </c>
      <c r="E44" s="217">
        <v>2</v>
      </c>
      <c r="F44" s="217">
        <v>3</v>
      </c>
      <c r="G44" s="217">
        <v>4</v>
      </c>
      <c r="H44" s="217">
        <v>5</v>
      </c>
      <c r="I44" s="217">
        <v>6</v>
      </c>
      <c r="J44" s="217">
        <v>7</v>
      </c>
      <c r="K44" s="217">
        <v>8</v>
      </c>
      <c r="L44" s="217">
        <v>9</v>
      </c>
      <c r="M44" s="217">
        <v>10</v>
      </c>
      <c r="N44" s="217">
        <v>11</v>
      </c>
      <c r="O44" s="217">
        <v>12</v>
      </c>
      <c r="P44" s="217">
        <v>13</v>
      </c>
      <c r="Q44" s="217">
        <v>14</v>
      </c>
      <c r="R44" s="217">
        <v>15</v>
      </c>
      <c r="S44" s="217">
        <v>16</v>
      </c>
      <c r="T44" s="217">
        <v>17</v>
      </c>
      <c r="U44" s="217">
        <v>18</v>
      </c>
      <c r="V44" s="217">
        <v>19</v>
      </c>
      <c r="W44" s="217">
        <v>20</v>
      </c>
      <c r="X44" s="217">
        <v>21</v>
      </c>
      <c r="Y44" s="217">
        <v>22</v>
      </c>
      <c r="Z44" s="217">
        <v>23</v>
      </c>
      <c r="AA44" s="217">
        <v>24</v>
      </c>
      <c r="AB44" s="217">
        <v>25</v>
      </c>
      <c r="AC44" s="217">
        <v>26</v>
      </c>
      <c r="AD44" s="217">
        <v>27</v>
      </c>
      <c r="AE44" s="217">
        <v>28</v>
      </c>
      <c r="AF44" s="217">
        <v>29</v>
      </c>
      <c r="AG44" s="217">
        <v>30</v>
      </c>
      <c r="AH44" s="217">
        <f aca="true" t="shared" si="50" ref="AH44:AQ44">AG44+1</f>
        <v>31</v>
      </c>
      <c r="AI44" s="217">
        <f t="shared" si="50"/>
        <v>32</v>
      </c>
      <c r="AJ44" s="217">
        <f t="shared" si="50"/>
        <v>33</v>
      </c>
      <c r="AK44" s="217">
        <f t="shared" si="50"/>
        <v>34</v>
      </c>
      <c r="AL44" s="217">
        <f t="shared" si="50"/>
        <v>35</v>
      </c>
      <c r="AM44" s="217">
        <f t="shared" si="50"/>
        <v>36</v>
      </c>
      <c r="AN44" s="217">
        <f t="shared" si="50"/>
        <v>37</v>
      </c>
      <c r="AO44" s="217">
        <f t="shared" si="50"/>
        <v>38</v>
      </c>
      <c r="AP44" s="217">
        <f t="shared" si="50"/>
        <v>39</v>
      </c>
      <c r="AQ44" s="217">
        <f t="shared" si="50"/>
        <v>40</v>
      </c>
    </row>
    <row r="45" spans="1:45" s="248" customFormat="1" ht="12.75" customHeight="1">
      <c r="A45" s="246"/>
      <c r="B45" s="247" t="s">
        <v>221</v>
      </c>
      <c r="D45" s="249">
        <f aca="true" t="shared" si="51" ref="D45:AQ45">D23-D43</f>
        <v>93997.12572267736</v>
      </c>
      <c r="E45" s="249">
        <f t="shared" si="51"/>
        <v>-8238.874277322648</v>
      </c>
      <c r="F45" s="249">
        <f t="shared" si="51"/>
        <v>-8275.95427732266</v>
      </c>
      <c r="G45" s="249">
        <f t="shared" si="51"/>
        <v>-8314.146677322675</v>
      </c>
      <c r="H45" s="249">
        <f t="shared" si="51"/>
        <v>-8118.5848493226895</v>
      </c>
      <c r="I45" s="249">
        <f t="shared" si="51"/>
        <v>-8159.103166482706</v>
      </c>
      <c r="J45" s="249">
        <f t="shared" si="51"/>
        <v>-8200.837033157524</v>
      </c>
      <c r="K45" s="249">
        <f t="shared" si="51"/>
        <v>-8243.822915832585</v>
      </c>
      <c r="L45" s="249">
        <f t="shared" si="51"/>
        <v>-8288.098374987896</v>
      </c>
      <c r="M45" s="249">
        <f t="shared" si="51"/>
        <v>-18098.80209791787</v>
      </c>
      <c r="N45" s="249">
        <f t="shared" si="51"/>
        <v>-8145.77393253574</v>
      </c>
      <c r="O45" s="249">
        <f t="shared" si="51"/>
        <v>-8194.154922192147</v>
      </c>
      <c r="P45" s="249">
        <f t="shared" si="51"/>
        <v>-8243.987341538246</v>
      </c>
      <c r="Q45" s="249">
        <f t="shared" si="51"/>
        <v>-8295.314733464727</v>
      </c>
      <c r="R45" s="249">
        <f t="shared" si="51"/>
        <v>-8113.281947149004</v>
      </c>
      <c r="S45" s="249">
        <f t="shared" si="51"/>
        <v>-8167.735177243809</v>
      </c>
      <c r="T45" s="249">
        <f t="shared" si="51"/>
        <v>-8223.822004241461</v>
      </c>
      <c r="U45" s="249">
        <f t="shared" si="51"/>
        <v>-8281.591436049039</v>
      </c>
      <c r="V45" s="249">
        <f t="shared" si="51"/>
        <v>-8341.093950810846</v>
      </c>
      <c r="W45" s="249">
        <f t="shared" si="51"/>
        <v>-18167.48154101551</v>
      </c>
      <c r="X45" s="249">
        <f t="shared" si="51"/>
        <v>-8230.607758926308</v>
      </c>
      <c r="Y45" s="249">
        <f t="shared" si="51"/>
        <v>-8295.627763374436</v>
      </c>
      <c r="Z45" s="249">
        <f t="shared" si="51"/>
        <v>-8362.598367956005</v>
      </c>
      <c r="AA45" s="249">
        <f t="shared" si="51"/>
        <v>-8431.578090675022</v>
      </c>
      <c r="AB45" s="249">
        <f t="shared" si="51"/>
        <v>-8267.727205075607</v>
      </c>
      <c r="AC45" s="249">
        <f t="shared" si="51"/>
        <v>-8340.90779290821</v>
      </c>
      <c r="AD45" s="249">
        <f t="shared" si="51"/>
        <v>-8416.283798375793</v>
      </c>
      <c r="AE45" s="249">
        <f t="shared" si="51"/>
        <v>-8493.921084007401</v>
      </c>
      <c r="AF45" s="249">
        <f t="shared" si="51"/>
        <v>-8573.887488207964</v>
      </c>
      <c r="AG45" s="249">
        <f t="shared" si="51"/>
        <v>-18421.352884534543</v>
      </c>
      <c r="AH45" s="249">
        <f t="shared" si="51"/>
        <v>-1503.3149654275935</v>
      </c>
      <c r="AI45" s="249">
        <f t="shared" si="51"/>
        <v>-1590.6964143904215</v>
      </c>
      <c r="AJ45" s="249">
        <f t="shared" si="51"/>
        <v>-1680.699306822134</v>
      </c>
      <c r="AK45" s="249">
        <f t="shared" si="51"/>
        <v>-1773.4022860267983</v>
      </c>
      <c r="AL45" s="249">
        <f t="shared" si="51"/>
        <v>-1633.9863546076022</v>
      </c>
      <c r="AM45" s="249">
        <f t="shared" si="51"/>
        <v>-1732.33494524583</v>
      </c>
      <c r="AN45" s="249">
        <f t="shared" si="51"/>
        <v>-1833.633993603205</v>
      </c>
      <c r="AO45" s="249">
        <f t="shared" si="51"/>
        <v>-1937.9720134113013</v>
      </c>
      <c r="AP45" s="249">
        <f t="shared" si="51"/>
        <v>-2045.4401738136403</v>
      </c>
      <c r="AQ45" s="249">
        <f t="shared" si="51"/>
        <v>-1921.2323790280498</v>
      </c>
      <c r="AR45" s="249"/>
      <c r="AS45" s="249">
        <f>SUM(D45:AR45)</f>
        <v>-193602.53999965024</v>
      </c>
    </row>
    <row r="46" spans="1:45" s="160" customFormat="1" ht="12.75" customHeight="1">
      <c r="A46" s="213"/>
      <c r="B46" s="222"/>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row>
    <row r="47" spans="1:45" s="160" customFormat="1" ht="12.75" customHeight="1">
      <c r="A47" s="213"/>
      <c r="B47" s="559" t="s">
        <v>222</v>
      </c>
      <c r="C47" s="160" t="s">
        <v>223</v>
      </c>
      <c r="D47" s="169">
        <f>IF(Loans!S31&gt;0,Loans!S31,0)</f>
        <v>1000</v>
      </c>
      <c r="E47" s="169">
        <f>IF(Loans!T31&gt;0,Loans!T31,0)</f>
        <v>0</v>
      </c>
      <c r="F47" s="169">
        <f>IF(Loans!U31&gt;0,Loans!U31,0)</f>
        <v>0</v>
      </c>
      <c r="G47" s="169">
        <f>IF(Loans!V31&gt;0,Loans!V31,0)</f>
        <v>0</v>
      </c>
      <c r="H47" s="169">
        <f>IF(Loans!W31&gt;0,Loans!W31,0)</f>
        <v>0</v>
      </c>
      <c r="I47" s="169">
        <f>IF(Loans!X31&gt;0,Loans!X31,0)</f>
        <v>0</v>
      </c>
      <c r="J47" s="169">
        <f>IF(Loans!Y31&gt;0,Loans!Y31,0)</f>
        <v>0</v>
      </c>
      <c r="K47" s="169">
        <f>IF(Loans!Z31&gt;0,Loans!Z31,0)</f>
        <v>0</v>
      </c>
      <c r="L47" s="169">
        <f>IF(Loans!AA31&gt;0,Loans!AA31,0)</f>
        <v>0</v>
      </c>
      <c r="M47" s="169">
        <f>IF(Loans!AB31&gt;0,Loans!AB31,0)</f>
        <v>0</v>
      </c>
      <c r="N47" s="169">
        <f>IF(Loans!AC31&gt;0,Loans!AC31,0)</f>
        <v>0</v>
      </c>
      <c r="O47" s="169">
        <f>IF(Loans!AD31&gt;0,Loans!AD31,0)</f>
        <v>0</v>
      </c>
      <c r="P47" s="169">
        <f>IF(Loans!AE31&gt;0,Loans!AE31,0)</f>
        <v>0</v>
      </c>
      <c r="Q47" s="169">
        <f>IF(Loans!AF31&gt;0,Loans!AF31,0)</f>
        <v>0</v>
      </c>
      <c r="R47" s="169">
        <f>IF(Loans!AG31&gt;0,Loans!AG31,0)</f>
        <v>0</v>
      </c>
      <c r="S47" s="169">
        <f>IF(Loans!AH31&gt;0,Loans!AH31,0)</f>
        <v>0</v>
      </c>
      <c r="T47" s="169">
        <f>IF(Loans!AI31&gt;0,Loans!AI31,0)</f>
        <v>0</v>
      </c>
      <c r="U47" s="169">
        <f>IF(Loans!AJ31&gt;0,Loans!AJ31,0)</f>
        <v>0</v>
      </c>
      <c r="V47" s="169">
        <f>IF(Loans!AK31&gt;0,Loans!AK31,0)</f>
        <v>0</v>
      </c>
      <c r="W47" s="169">
        <f>IF(Loans!AL31&gt;0,Loans!AL31,0)</f>
        <v>0</v>
      </c>
      <c r="X47" s="169">
        <f>IF(Loans!AM31&gt;0,Loans!AM31,0)</f>
        <v>0</v>
      </c>
      <c r="Y47" s="169">
        <f>IF(Loans!AN31&gt;0,Loans!AN31,0)</f>
        <v>0</v>
      </c>
      <c r="Z47" s="169">
        <f>IF(Loans!AO31&gt;0,Loans!AO31,0)</f>
        <v>0</v>
      </c>
      <c r="AA47" s="169">
        <f>IF(Loans!AP31&gt;0,Loans!AP31,0)</f>
        <v>0</v>
      </c>
      <c r="AB47" s="169">
        <f>IF(Loans!AQ31&gt;0,Loans!AQ31,0)</f>
        <v>0</v>
      </c>
      <c r="AC47" s="169">
        <f>IF(Loans!AR31&gt;0,Loans!AR31,0)</f>
        <v>0</v>
      </c>
      <c r="AD47" s="169">
        <f>IF(Loans!AS31&gt;0,Loans!AS31,0)</f>
        <v>0</v>
      </c>
      <c r="AE47" s="169">
        <f>IF(Loans!AT31&gt;0,Loans!AT31,0)</f>
        <v>0</v>
      </c>
      <c r="AF47" s="169">
        <f>IF(Loans!AU31&gt;0,Loans!AU31,0)</f>
        <v>0</v>
      </c>
      <c r="AG47" s="169">
        <f>IF(Loans!AV31&gt;0,Loans!AV31,0)</f>
        <v>0</v>
      </c>
      <c r="AH47" s="169">
        <f>IF(Loans!AW31&gt;0,Loans!AW31,0)</f>
        <v>0</v>
      </c>
      <c r="AI47" s="169">
        <f>IF(Loans!AX31&gt;0,Loans!AX31,0)</f>
        <v>0</v>
      </c>
      <c r="AJ47" s="169">
        <f>IF(Loans!AY31&gt;0,Loans!AY31,0)</f>
        <v>0</v>
      </c>
      <c r="AK47" s="169">
        <f>IF(Loans!AZ31&gt;0,Loans!AZ31,0)</f>
        <v>0</v>
      </c>
      <c r="AL47" s="169">
        <f>IF(Loans!BA31&gt;0,Loans!BA31,0)</f>
        <v>0</v>
      </c>
      <c r="AM47" s="169">
        <f>IF(Loans!BB31&gt;0,Loans!BB31,0)</f>
        <v>0</v>
      </c>
      <c r="AN47" s="169">
        <f>IF(Loans!BC31&gt;0,Loans!BC31,0)</f>
        <v>0</v>
      </c>
      <c r="AO47" s="169">
        <f>IF(Loans!BD31&gt;0,Loans!BD31,0)</f>
        <v>0</v>
      </c>
      <c r="AP47" s="169">
        <f>IF(Loans!BE31&gt;0,Loans!BE31,0)</f>
        <v>0</v>
      </c>
      <c r="AQ47" s="169">
        <f>IF(Loans!BF31&gt;0,Loans!BF31,0)</f>
        <v>0</v>
      </c>
      <c r="AR47" s="169"/>
      <c r="AS47" s="169">
        <f>SUM(D47:AR47)</f>
        <v>1000</v>
      </c>
    </row>
    <row r="48" spans="1:45" s="160" customFormat="1" ht="12.75" customHeight="1">
      <c r="A48" s="213"/>
      <c r="B48" s="559"/>
      <c r="C48" s="160" t="s">
        <v>224</v>
      </c>
      <c r="D48" s="169">
        <f>Loans!S100</f>
        <v>0</v>
      </c>
      <c r="E48" s="169">
        <f>Loans!T100</f>
        <v>0</v>
      </c>
      <c r="F48" s="169">
        <f>Loans!U100</f>
        <v>0</v>
      </c>
      <c r="G48" s="169">
        <f>Loans!V100</f>
        <v>0</v>
      </c>
      <c r="H48" s="169">
        <f>Loans!W100</f>
        <v>0</v>
      </c>
      <c r="I48" s="169">
        <f>Loans!X100</f>
        <v>0</v>
      </c>
      <c r="J48" s="169">
        <f>Loans!Y100</f>
        <v>0</v>
      </c>
      <c r="K48" s="169">
        <f>Loans!Z100</f>
        <v>0</v>
      </c>
      <c r="L48" s="169">
        <f>Loans!AA100</f>
        <v>0</v>
      </c>
      <c r="M48" s="169">
        <f>Loans!AB100</f>
        <v>0</v>
      </c>
      <c r="N48" s="169">
        <f>Loans!AC100</f>
        <v>0</v>
      </c>
      <c r="O48" s="169">
        <f>Loans!AD100</f>
        <v>0</v>
      </c>
      <c r="P48" s="169">
        <f>Loans!AE100</f>
        <v>0</v>
      </c>
      <c r="Q48" s="169">
        <f>Loans!AF100</f>
        <v>0</v>
      </c>
      <c r="R48" s="169">
        <f>Loans!AG100</f>
        <v>0</v>
      </c>
      <c r="S48" s="169">
        <f>Loans!AH100</f>
        <v>0</v>
      </c>
      <c r="T48" s="169">
        <f>Loans!AI100</f>
        <v>0</v>
      </c>
      <c r="U48" s="169">
        <f>Loans!AJ100</f>
        <v>0</v>
      </c>
      <c r="V48" s="169">
        <f>Loans!AK100</f>
        <v>0</v>
      </c>
      <c r="W48" s="169">
        <f>Loans!AL100</f>
        <v>0</v>
      </c>
      <c r="X48" s="169">
        <f>Loans!AM100</f>
        <v>0</v>
      </c>
      <c r="Y48" s="169">
        <f>Loans!AN100</f>
        <v>0</v>
      </c>
      <c r="Z48" s="169">
        <f>Loans!AO100</f>
        <v>0</v>
      </c>
      <c r="AA48" s="169">
        <f>Loans!AP100</f>
        <v>0</v>
      </c>
      <c r="AB48" s="169">
        <f>Loans!AQ100</f>
        <v>0</v>
      </c>
      <c r="AC48" s="169">
        <f>Loans!AR100</f>
        <v>0</v>
      </c>
      <c r="AD48" s="169">
        <f>Loans!AS100</f>
        <v>0</v>
      </c>
      <c r="AE48" s="169">
        <f>Loans!AT100</f>
        <v>0</v>
      </c>
      <c r="AF48" s="169">
        <f>Loans!AU100</f>
        <v>0</v>
      </c>
      <c r="AG48" s="169">
        <f>Loans!AV100</f>
        <v>0</v>
      </c>
      <c r="AH48" s="169">
        <f>Loans!AW100</f>
        <v>0</v>
      </c>
      <c r="AI48" s="169">
        <f>Loans!AX100</f>
        <v>0</v>
      </c>
      <c r="AJ48" s="169">
        <f>Loans!AY100</f>
        <v>0</v>
      </c>
      <c r="AK48" s="169">
        <f>Loans!AZ100</f>
        <v>0</v>
      </c>
      <c r="AL48" s="169">
        <f>Loans!BA100</f>
        <v>0</v>
      </c>
      <c r="AM48" s="169">
        <f>Loans!BB100</f>
        <v>0</v>
      </c>
      <c r="AN48" s="169">
        <f>Loans!BC100</f>
        <v>0</v>
      </c>
      <c r="AO48" s="169">
        <f>Loans!BD100</f>
        <v>0</v>
      </c>
      <c r="AP48" s="169">
        <f>Loans!BE100</f>
        <v>0</v>
      </c>
      <c r="AQ48" s="169">
        <f>Loans!BF100</f>
        <v>0</v>
      </c>
      <c r="AR48" s="169"/>
      <c r="AS48" s="169">
        <f>SUM(D48:AR48)</f>
        <v>0</v>
      </c>
    </row>
    <row r="49" spans="1:45" s="160" customFormat="1" ht="12.75" customHeight="1">
      <c r="A49" s="213"/>
      <c r="B49" s="222"/>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row>
    <row r="50" spans="1:45" s="252" customFormat="1" ht="12.75" customHeight="1">
      <c r="A50" s="250"/>
      <c r="B50" s="251" t="s">
        <v>225</v>
      </c>
      <c r="D50" s="253">
        <f>D45-D47-D48</f>
        <v>92997.12572267736</v>
      </c>
      <c r="E50" s="253">
        <f aca="true" t="shared" si="52" ref="E50:AQ50">D50+E45-E47-E48</f>
        <v>84758.25144535472</v>
      </c>
      <c r="F50" s="253">
        <f t="shared" si="52"/>
        <v>76482.29716803206</v>
      </c>
      <c r="G50" s="253">
        <f t="shared" si="52"/>
        <v>68168.15049070939</v>
      </c>
      <c r="H50" s="253">
        <f t="shared" si="52"/>
        <v>60049.565641386704</v>
      </c>
      <c r="I50" s="253">
        <f t="shared" si="52"/>
        <v>51890.462474903994</v>
      </c>
      <c r="J50" s="253">
        <f t="shared" si="52"/>
        <v>43689.625441746466</v>
      </c>
      <c r="K50" s="253">
        <f t="shared" si="52"/>
        <v>35445.80252591388</v>
      </c>
      <c r="L50" s="253">
        <f t="shared" si="52"/>
        <v>27157.704150925987</v>
      </c>
      <c r="M50" s="253">
        <f t="shared" si="52"/>
        <v>9058.902053008118</v>
      </c>
      <c r="N50" s="253">
        <f t="shared" si="52"/>
        <v>913.1281204723782</v>
      </c>
      <c r="O50" s="253">
        <f t="shared" si="52"/>
        <v>-7281.026801719769</v>
      </c>
      <c r="P50" s="253">
        <f t="shared" si="52"/>
        <v>-15525.014143258015</v>
      </c>
      <c r="Q50" s="253">
        <f t="shared" si="52"/>
        <v>-23820.328876722742</v>
      </c>
      <c r="R50" s="253">
        <f t="shared" si="52"/>
        <v>-31933.610823871746</v>
      </c>
      <c r="S50" s="253">
        <f t="shared" si="52"/>
        <v>-40101.346001115555</v>
      </c>
      <c r="T50" s="253">
        <f t="shared" si="52"/>
        <v>-48325.168005357016</v>
      </c>
      <c r="U50" s="253">
        <f t="shared" si="52"/>
        <v>-56606.75944140606</v>
      </c>
      <c r="V50" s="253">
        <f t="shared" si="52"/>
        <v>-64947.8533922169</v>
      </c>
      <c r="W50" s="253">
        <f t="shared" si="52"/>
        <v>-83115.33493323241</v>
      </c>
      <c r="X50" s="253">
        <f t="shared" si="52"/>
        <v>-91345.94269215871</v>
      </c>
      <c r="Y50" s="253">
        <f t="shared" si="52"/>
        <v>-99641.57045553315</v>
      </c>
      <c r="Z50" s="253">
        <f t="shared" si="52"/>
        <v>-108004.16882348915</v>
      </c>
      <c r="AA50" s="253">
        <f t="shared" si="52"/>
        <v>-116435.74691416416</v>
      </c>
      <c r="AB50" s="253">
        <f t="shared" si="52"/>
        <v>-124703.47411923978</v>
      </c>
      <c r="AC50" s="253">
        <f t="shared" si="52"/>
        <v>-133044.38191214798</v>
      </c>
      <c r="AD50" s="253">
        <f t="shared" si="52"/>
        <v>-141460.66571052378</v>
      </c>
      <c r="AE50" s="253">
        <f t="shared" si="52"/>
        <v>-149954.58679453118</v>
      </c>
      <c r="AF50" s="253">
        <f t="shared" si="52"/>
        <v>-158528.47428273913</v>
      </c>
      <c r="AG50" s="253">
        <f t="shared" si="52"/>
        <v>-176949.82716727367</v>
      </c>
      <c r="AH50" s="253">
        <f t="shared" si="52"/>
        <v>-178453.14213270126</v>
      </c>
      <c r="AI50" s="253">
        <f t="shared" si="52"/>
        <v>-180043.8385470917</v>
      </c>
      <c r="AJ50" s="253">
        <f t="shared" si="52"/>
        <v>-181724.53785391382</v>
      </c>
      <c r="AK50" s="253">
        <f t="shared" si="52"/>
        <v>-183497.94013994062</v>
      </c>
      <c r="AL50" s="253">
        <f t="shared" si="52"/>
        <v>-185131.9264945482</v>
      </c>
      <c r="AM50" s="253">
        <f t="shared" si="52"/>
        <v>-186864.26143979403</v>
      </c>
      <c r="AN50" s="253">
        <f t="shared" si="52"/>
        <v>-188697.89543339724</v>
      </c>
      <c r="AO50" s="253">
        <f t="shared" si="52"/>
        <v>-190635.86744680855</v>
      </c>
      <c r="AP50" s="253">
        <f t="shared" si="52"/>
        <v>-192681.3076206222</v>
      </c>
      <c r="AQ50" s="253">
        <f t="shared" si="52"/>
        <v>-194602.53999965024</v>
      </c>
      <c r="AR50" s="253"/>
      <c r="AS50" s="253"/>
    </row>
    <row r="51" spans="1:45" s="160" customFormat="1" ht="12.75" customHeight="1">
      <c r="A51" s="213"/>
      <c r="B51" s="222"/>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row>
    <row r="52" spans="1:45" s="160" customFormat="1" ht="12.75" customHeight="1">
      <c r="A52" s="213"/>
      <c r="B52" s="560" t="s">
        <v>226</v>
      </c>
      <c r="C52" s="180" t="str">
        <f>Loans!E25&amp;" Year Loanstock"</f>
        <v>1 Year Loanstock</v>
      </c>
      <c r="D52" s="169">
        <f>IF(D44&lt;=Loans!$E$25,Loans!$L$30,"")</f>
        <v>1000</v>
      </c>
      <c r="E52" s="169">
        <f>IF(E44&lt;=Loans!$E$25,Loans!$L$30,"")</f>
      </c>
      <c r="F52" s="169">
        <f>IF(F44&lt;=Loans!$E$25,Loans!$L$30,"")</f>
      </c>
      <c r="G52" s="169">
        <f>IF(G44&lt;=Loans!$E$25,Loans!$L$30,"")</f>
      </c>
      <c r="H52" s="169">
        <f>IF(H44&lt;=Loans!$E$25,Loans!$L$30,"")</f>
      </c>
      <c r="I52" s="169">
        <f>IF(I44&lt;=Loans!$E$25,Loans!$L$30,"")</f>
      </c>
      <c r="J52" s="169">
        <f>IF(J44&lt;=Loans!$E$25,Loans!$L$30,"")</f>
      </c>
      <c r="K52" s="169">
        <f>IF(K44&lt;=Loans!$E$25,Loans!$L$30,"")</f>
      </c>
      <c r="L52" s="169">
        <f>IF(L44&lt;=Loans!$E$25,Loans!$L$30,"")</f>
      </c>
      <c r="M52" s="169">
        <f>IF(M44&lt;=Loans!$E$25,Loans!$L$30,"")</f>
      </c>
      <c r="N52" s="169">
        <f>IF(N44&lt;=Loans!$E$25,Loans!$L$30,"")</f>
      </c>
      <c r="O52" s="169">
        <f>IF(O44&lt;=Loans!$E$25,Loans!$L$30,"")</f>
      </c>
      <c r="P52" s="169">
        <f>IF(P44&lt;=Loans!$E$25,Loans!$L$30,"")</f>
      </c>
      <c r="Q52" s="169">
        <f>IF(Q44&lt;=Loans!$E$25,Loans!$L$30,"")</f>
      </c>
      <c r="R52" s="169">
        <f>IF(R44&lt;=Loans!$E$25,Loans!$L$30,"")</f>
      </c>
      <c r="S52" s="169">
        <f>IF(S44&lt;=Loans!$E$25,Loans!$L$30,"")</f>
      </c>
      <c r="T52" s="169">
        <f>IF(T44&lt;=Loans!$E$25,Loans!$L$30,"")</f>
      </c>
      <c r="U52" s="169">
        <f>IF(U44&lt;=Loans!$E$25,Loans!$L$30,"")</f>
      </c>
      <c r="V52" s="169">
        <f>IF(V44&lt;=Loans!$E$25,Loans!$L$30,"")</f>
      </c>
      <c r="W52" s="169">
        <f>IF(W44&lt;=Loans!$E$25,Loans!$L$30,"")</f>
      </c>
      <c r="X52" s="169">
        <f>IF(X44&lt;=Loans!$E$25,Loans!$L$30,"")</f>
      </c>
      <c r="Y52" s="169">
        <f>IF(Y44&lt;=Loans!$E$25,Loans!$L$30,"")</f>
      </c>
      <c r="Z52" s="169">
        <f>IF(Z44&lt;=Loans!$E$25,Loans!$L$30,"")</f>
      </c>
      <c r="AA52" s="169">
        <f>IF(AA44&lt;=Loans!$E$25,Loans!$L$30,"")</f>
      </c>
      <c r="AB52" s="169">
        <f>IF(AB44&lt;=Loans!$E$25,Loans!$L$30,"")</f>
      </c>
      <c r="AC52" s="169">
        <f>IF(AC44&lt;=Loans!$E$25,Loans!$L$30,"")</f>
      </c>
      <c r="AD52" s="169">
        <f>IF(AD44&lt;=Loans!$E$25,Loans!$L$30,"")</f>
      </c>
      <c r="AE52" s="169">
        <f>IF(AE44&lt;=Loans!$E$25,Loans!$L$30,"")</f>
      </c>
      <c r="AF52" s="169">
        <f>IF(AF44&lt;=Loans!$E$25,Loans!$L$30,"")</f>
      </c>
      <c r="AG52" s="169">
        <f>IF(AG44&lt;=Loans!$E$25,Loans!$L$30,"")</f>
      </c>
      <c r="AH52" s="169">
        <f>IF(AH44&lt;=Loans!$E$25,Loans!$L$30,"")</f>
      </c>
      <c r="AI52" s="169">
        <f>IF(AI44&lt;=Loans!$E$25,Loans!$L$30,"")</f>
      </c>
      <c r="AJ52" s="169">
        <f>IF(AJ44&lt;=Loans!$E$25,Loans!$L$30,"")</f>
      </c>
      <c r="AK52" s="169">
        <f>IF(AK44&lt;=Loans!$E$25,Loans!$L$30,"")</f>
      </c>
      <c r="AL52" s="169">
        <f>IF(AL44&lt;=Loans!$E$25,Loans!$L$30,"")</f>
      </c>
      <c r="AM52" s="169">
        <f>IF(AM44&lt;=Loans!$E$25,Loans!$L$30,"")</f>
      </c>
      <c r="AN52" s="169">
        <f>IF(AN44&lt;=Loans!$E$25,Loans!$L$30,"")</f>
      </c>
      <c r="AO52" s="169">
        <f>IF(AO44&lt;=Loans!$E$25,Loans!$L$30,"")</f>
      </c>
      <c r="AP52" s="169">
        <f>IF(AP44&lt;=Loans!$E$25,Loans!$L$30,"")</f>
      </c>
      <c r="AQ52" s="169">
        <f>IF(AQ44&lt;=Loans!$E$25,Loans!$L$30,"")</f>
      </c>
      <c r="AR52" s="169"/>
      <c r="AS52" s="169"/>
    </row>
    <row r="53" spans="1:45" s="160" customFormat="1" ht="12.75" customHeight="1">
      <c r="A53" s="213"/>
      <c r="B53" s="560"/>
      <c r="C53" s="180" t="str">
        <f>Loans!E32&amp;" Year Loanstock"</f>
        <v>5 Year Loanstock</v>
      </c>
      <c r="D53" s="169">
        <f>IF(D44&lt;=Loans!$E$32,Loans!$L$37,"")</f>
        <v>0</v>
      </c>
      <c r="E53" s="169">
        <f>IF(E44&lt;=Loans!$E$32,Loans!$L$37,"")</f>
        <v>0</v>
      </c>
      <c r="F53" s="169">
        <f>IF(F44&lt;=Loans!$E$32,Loans!$L$37,"")</f>
        <v>0</v>
      </c>
      <c r="G53" s="169">
        <f>IF(G44&lt;=Loans!$E$32,Loans!$L$37,"")</f>
        <v>0</v>
      </c>
      <c r="H53" s="169">
        <f>IF(H44&lt;=Loans!$E$32,Loans!$L$37,"")</f>
        <v>0</v>
      </c>
      <c r="I53" s="169">
        <f>IF(I44&lt;=Loans!$E$32,Loans!$L$37,"")</f>
      </c>
      <c r="J53" s="169">
        <f>IF(J44&lt;=Loans!$E$32,Loans!$L$37,"")</f>
      </c>
      <c r="K53" s="169">
        <f>IF(K44&lt;=Loans!$E$32,Loans!$L$37,"")</f>
      </c>
      <c r="L53" s="169">
        <f>IF(L44&lt;=Loans!$E$32,Loans!$L$37,"")</f>
      </c>
      <c r="M53" s="169">
        <f>IF(M44&lt;=Loans!$E$32,Loans!$L$37,"")</f>
      </c>
      <c r="N53" s="169">
        <f>IF(N44&lt;=Loans!$E$32,Loans!$L$37,"")</f>
      </c>
      <c r="O53" s="169">
        <f>IF(O44&lt;=Loans!$E$32,Loans!$L$37,"")</f>
      </c>
      <c r="P53" s="169">
        <f>IF(P44&lt;=Loans!$E$32,Loans!$L$37,"")</f>
      </c>
      <c r="Q53" s="169">
        <f>IF(Q44&lt;=Loans!$E$32,Loans!$L$37,"")</f>
      </c>
      <c r="R53" s="169">
        <f>IF(R44&lt;=Loans!$E$32,Loans!$L$37,"")</f>
      </c>
      <c r="S53" s="169">
        <f>IF(S44&lt;=Loans!$E$32,Loans!$L$37,"")</f>
      </c>
      <c r="T53" s="169">
        <f>IF(T44&lt;=Loans!$E$32,Loans!$L$37,"")</f>
      </c>
      <c r="U53" s="169">
        <f>IF(U44&lt;=Loans!$E$32,Loans!$L$37,"")</f>
      </c>
      <c r="V53" s="169">
        <f>IF(V44&lt;=Loans!$E$32,Loans!$L$37,"")</f>
      </c>
      <c r="W53" s="169">
        <f>IF(W44&lt;=Loans!$E$32,Loans!$L$37,"")</f>
      </c>
      <c r="X53" s="169">
        <f>IF(X44&lt;=Loans!$E$32,Loans!$L$37,"")</f>
      </c>
      <c r="Y53" s="169">
        <f>IF(Y44&lt;=Loans!$E$32,Loans!$L$37,"")</f>
      </c>
      <c r="Z53" s="169">
        <f>IF(Z44&lt;=Loans!$E$32,Loans!$L$37,"")</f>
      </c>
      <c r="AA53" s="169">
        <f>IF(AA44&lt;=Loans!$E$32,Loans!$L$37,"")</f>
      </c>
      <c r="AB53" s="169">
        <f>IF(AB44&lt;=Loans!$E$32,Loans!$L$37,"")</f>
      </c>
      <c r="AC53" s="169">
        <f>IF(AC44&lt;=Loans!$E$32,Loans!$L$37,"")</f>
      </c>
      <c r="AD53" s="169">
        <f>IF(AD44&lt;=Loans!$E$32,Loans!$L$37,"")</f>
      </c>
      <c r="AE53" s="169">
        <f>IF(AE44&lt;=Loans!$E$32,Loans!$L$37,"")</f>
      </c>
      <c r="AF53" s="169">
        <f>IF(AF44&lt;=Loans!$E$32,Loans!$L$37,"")</f>
      </c>
      <c r="AG53" s="169">
        <f>IF(AG44&lt;=Loans!$E$32,Loans!$L$37,"")</f>
      </c>
      <c r="AH53" s="169">
        <f>IF(AH44&lt;=Loans!$E$32,Loans!$L$37,"")</f>
      </c>
      <c r="AI53" s="169">
        <f>IF(AI44&lt;=Loans!$E$32,Loans!$L$37,"")</f>
      </c>
      <c r="AJ53" s="169">
        <f>IF(AJ44&lt;=Loans!$E$32,Loans!$L$37,"")</f>
      </c>
      <c r="AK53" s="169">
        <f>IF(AK44&lt;=Loans!$E$32,Loans!$L$37,"")</f>
      </c>
      <c r="AL53" s="169">
        <f>IF(AL44&lt;=Loans!$E$32,Loans!$L$37,"")</f>
      </c>
      <c r="AM53" s="169">
        <f>IF(AM44&lt;=Loans!$E$32,Loans!$L$37,"")</f>
      </c>
      <c r="AN53" s="169">
        <f>IF(AN44&lt;=Loans!$E$32,Loans!$L$37,"")</f>
      </c>
      <c r="AO53" s="169">
        <f>IF(AO44&lt;=Loans!$E$32,Loans!$L$37,"")</f>
      </c>
      <c r="AP53" s="169">
        <f>IF(AP44&lt;=Loans!$E$32,Loans!$L$37,"")</f>
      </c>
      <c r="AQ53" s="169">
        <f>IF(AQ44&lt;=Loans!$E$32,Loans!$L$37,"")</f>
      </c>
      <c r="AR53" s="169"/>
      <c r="AS53" s="169"/>
    </row>
    <row r="54" spans="1:45" s="160" customFormat="1" ht="12.75" customHeight="1">
      <c r="A54" s="213"/>
      <c r="B54" s="560"/>
      <c r="C54" s="180" t="str">
        <f>Loans!E39&amp;" Year Loanstock"</f>
        <v>10 Year Loanstock</v>
      </c>
      <c r="D54" s="169">
        <f>IF(D44&lt;=Loans!$E$39,Loans!$L$44,"")</f>
        <v>0</v>
      </c>
      <c r="E54" s="169">
        <f>IF(E44&lt;=Loans!$E$39,Loans!$L$44,"")</f>
        <v>0</v>
      </c>
      <c r="F54" s="169">
        <f>IF(F44&lt;=Loans!$E$39,Loans!$L$44,"")</f>
        <v>0</v>
      </c>
      <c r="G54" s="169">
        <f>IF(G44&lt;=Loans!$E$39,Loans!$L$44,"")</f>
        <v>0</v>
      </c>
      <c r="H54" s="169">
        <f>IF(H44&lt;=Loans!$E$39,Loans!$L$44,"")</f>
        <v>0</v>
      </c>
      <c r="I54" s="169">
        <f>IF(I44&lt;=Loans!$E$39,Loans!$L$44,"")</f>
        <v>0</v>
      </c>
      <c r="J54" s="169">
        <f>IF(J44&lt;=Loans!$E$39,Loans!$L$44,"")</f>
        <v>0</v>
      </c>
      <c r="K54" s="169">
        <f>IF(K44&lt;=Loans!$E$39,Loans!$L$44,"")</f>
        <v>0</v>
      </c>
      <c r="L54" s="169">
        <f>IF(L44&lt;=Loans!$E$39,Loans!$L$44,"")</f>
        <v>0</v>
      </c>
      <c r="M54" s="169">
        <f>IF(M44&lt;=Loans!$E$39,Loans!$L$44,"")</f>
        <v>0</v>
      </c>
      <c r="N54" s="169">
        <f>IF(N44&lt;=Loans!$E$39,Loans!$L$44,"")</f>
      </c>
      <c r="O54" s="169">
        <f>IF(O44&lt;=Loans!$E$39,Loans!$L$44,"")</f>
      </c>
      <c r="P54" s="169">
        <f>IF(P44&lt;=Loans!$E$39,Loans!$L$44,"")</f>
      </c>
      <c r="Q54" s="169">
        <f>IF(Q44&lt;=Loans!$E$39,Loans!$L$44,"")</f>
      </c>
      <c r="R54" s="169">
        <f>IF(R44&lt;=Loans!$E$39,Loans!$L$44,"")</f>
      </c>
      <c r="S54" s="169">
        <f>IF(S44&lt;=Loans!$E$39,Loans!$L$44,"")</f>
      </c>
      <c r="T54" s="169">
        <f>IF(T44&lt;=Loans!$E$39,Loans!$L$44,"")</f>
      </c>
      <c r="U54" s="169">
        <f>IF(U44&lt;=Loans!$E$39,Loans!$L$44,"")</f>
      </c>
      <c r="V54" s="169">
        <f>IF(V44&lt;=Loans!$E$39,Loans!$L$44,"")</f>
      </c>
      <c r="W54" s="169">
        <f>IF(W44&lt;=Loans!$E$39,Loans!$L$44,"")</f>
      </c>
      <c r="X54" s="169">
        <f>IF(X44&lt;=Loans!$E$39,Loans!$L$44,"")</f>
      </c>
      <c r="Y54" s="169">
        <f>IF(Y44&lt;=Loans!$E$39,Loans!$L$44,"")</f>
      </c>
      <c r="Z54" s="169">
        <f>IF(Z44&lt;=Loans!$E$39,Loans!$L$44,"")</f>
      </c>
      <c r="AA54" s="169">
        <f>IF(AA44&lt;=Loans!$E$39,Loans!$L$44,"")</f>
      </c>
      <c r="AB54" s="169">
        <f>IF(AB44&lt;=Loans!$E$39,Loans!$L$44,"")</f>
      </c>
      <c r="AC54" s="169">
        <f>IF(AC44&lt;=Loans!$E$39,Loans!$L$44,"")</f>
      </c>
      <c r="AD54" s="169">
        <f>IF(AD44&lt;=Loans!$E$39,Loans!$L$44,"")</f>
      </c>
      <c r="AE54" s="169">
        <f>IF(AE44&lt;=Loans!$E$39,Loans!$L$44,"")</f>
      </c>
      <c r="AF54" s="169">
        <f>IF(AF44&lt;=Loans!$E$39,Loans!$L$44,"")</f>
      </c>
      <c r="AG54" s="169">
        <f>IF(AG44&lt;=Loans!$E$39,Loans!$L$44,"")</f>
      </c>
      <c r="AH54" s="169">
        <f>IF(AH44&lt;=Loans!$E$39,Loans!$L$44,"")</f>
      </c>
      <c r="AI54" s="169">
        <f>IF(AI44&lt;=Loans!$E$39,Loans!$L$44,"")</f>
      </c>
      <c r="AJ54" s="169">
        <f>IF(AJ44&lt;=Loans!$E$39,Loans!$L$44,"")</f>
      </c>
      <c r="AK54" s="169">
        <f>IF(AK44&lt;=Loans!$E$39,Loans!$L$44,"")</f>
      </c>
      <c r="AL54" s="169">
        <f>IF(AL44&lt;=Loans!$E$39,Loans!$L$44,"")</f>
      </c>
      <c r="AM54" s="169">
        <f>IF(AM44&lt;=Loans!$E$39,Loans!$L$44,"")</f>
      </c>
      <c r="AN54" s="169">
        <f>IF(AN44&lt;=Loans!$E$39,Loans!$L$44,"")</f>
      </c>
      <c r="AO54" s="169">
        <f>IF(AO44&lt;=Loans!$E$39,Loans!$L$44,"")</f>
      </c>
      <c r="AP54" s="169">
        <f>IF(AP44&lt;=Loans!$E$39,Loans!$L$44,"")</f>
      </c>
      <c r="AQ54" s="169">
        <f>IF(AQ44&lt;=Loans!$E$39,Loans!$L$44,"")</f>
      </c>
      <c r="AR54" s="169"/>
      <c r="AS54" s="169"/>
    </row>
    <row r="55" spans="1:45" s="160" customFormat="1" ht="12.75" customHeight="1">
      <c r="A55" s="213"/>
      <c r="B55" s="560"/>
      <c r="C55" s="180" t="str">
        <f>Loans!E46&amp;" Year Loanstock"</f>
        <v>15 Year Loanstock</v>
      </c>
      <c r="D55" s="169">
        <f>IF(D44&lt;=Loans!$E$46,Loans!$L$51,"")</f>
        <v>0</v>
      </c>
      <c r="E55" s="169">
        <f>IF(E44&lt;=Loans!$E$46,Loans!$L$51,"")</f>
        <v>0</v>
      </c>
      <c r="F55" s="169">
        <f>IF(F44&lt;=Loans!$E$46,Loans!$L$51,"")</f>
        <v>0</v>
      </c>
      <c r="G55" s="169">
        <f>IF(G44&lt;=Loans!$E$46,Loans!$L$51,"")</f>
        <v>0</v>
      </c>
      <c r="H55" s="169">
        <f>IF(H44&lt;=Loans!$E$46,Loans!$L$51,"")</f>
        <v>0</v>
      </c>
      <c r="I55" s="169">
        <f>IF(I44&lt;=Loans!$E$46,Loans!$L$51,"")</f>
        <v>0</v>
      </c>
      <c r="J55" s="169">
        <f>IF(J44&lt;=Loans!$E$46,Loans!$L$51,"")</f>
        <v>0</v>
      </c>
      <c r="K55" s="169">
        <f>IF(K44&lt;=Loans!$E$46,Loans!$L$51,"")</f>
        <v>0</v>
      </c>
      <c r="L55" s="169">
        <f>IF(L44&lt;=Loans!$E$46,Loans!$L$51,"")</f>
        <v>0</v>
      </c>
      <c r="M55" s="169">
        <f>IF(M44&lt;=Loans!$E$46,Loans!$L$51,"")</f>
        <v>0</v>
      </c>
      <c r="N55" s="169">
        <f>IF(N44&lt;=Loans!$E$46,Loans!$L$51,"")</f>
        <v>0</v>
      </c>
      <c r="O55" s="169">
        <f>IF(O44&lt;=Loans!$E$46,Loans!$L$51,"")</f>
        <v>0</v>
      </c>
      <c r="P55" s="169">
        <f>IF(P44&lt;=Loans!$E$46,Loans!$L$51,"")</f>
        <v>0</v>
      </c>
      <c r="Q55" s="169">
        <f>IF(Q44&lt;=Loans!$E$46,Loans!$L$51,"")</f>
        <v>0</v>
      </c>
      <c r="R55" s="169">
        <f>IF(R44&lt;=Loans!$E$46,Loans!$L$51,"")</f>
        <v>0</v>
      </c>
      <c r="S55" s="169">
        <f>IF(S44&lt;=Loans!$E$46,Loans!$L$51,"")</f>
      </c>
      <c r="T55" s="169">
        <f>IF(T44&lt;=Loans!$E$46,Loans!$L$51,"")</f>
      </c>
      <c r="U55" s="169">
        <f>IF(U44&lt;=Loans!$E$46,Loans!$L$51,"")</f>
      </c>
      <c r="V55" s="169">
        <f>IF(V44&lt;=Loans!$E$46,Loans!$L$51,"")</f>
      </c>
      <c r="W55" s="169">
        <f>IF(W44&lt;=Loans!$E$46,Loans!$L$51,"")</f>
      </c>
      <c r="X55" s="169">
        <f>IF(X44&lt;=Loans!$E$46,Loans!$L$51,"")</f>
      </c>
      <c r="Y55" s="169">
        <f>IF(Y44&lt;=Loans!$E$46,Loans!$L$51,"")</f>
      </c>
      <c r="Z55" s="169">
        <f>IF(Z44&lt;=Loans!$E$46,Loans!$L$51,"")</f>
      </c>
      <c r="AA55" s="169">
        <f>IF(AA44&lt;=Loans!$E$46,Loans!$L$51,"")</f>
      </c>
      <c r="AB55" s="169">
        <f>IF(AB44&lt;=Loans!$E$46,Loans!$L$51,"")</f>
      </c>
      <c r="AC55" s="169">
        <f>IF(AC44&lt;=Loans!$E$46,Loans!$L$51,"")</f>
      </c>
      <c r="AD55" s="169">
        <f>IF(AD44&lt;=Loans!$E$46,Loans!$L$51,"")</f>
      </c>
      <c r="AE55" s="169">
        <f>IF(AE44&lt;=Loans!$E$46,Loans!$L$51,"")</f>
      </c>
      <c r="AF55" s="169">
        <f>IF(AF44&lt;=Loans!$E$46,Loans!$L$51,"")</f>
      </c>
      <c r="AG55" s="169">
        <f>IF(AG44&lt;=Loans!$E$46,Loans!$L$51,"")</f>
      </c>
      <c r="AH55" s="169">
        <f>IF(AH44&lt;=Loans!$E$46,Loans!$L$51,"")</f>
      </c>
      <c r="AI55" s="169">
        <f>IF(AI44&lt;=Loans!$E$46,Loans!$L$51,"")</f>
      </c>
      <c r="AJ55" s="169">
        <f>IF(AJ44&lt;=Loans!$E$46,Loans!$L$51,"")</f>
      </c>
      <c r="AK55" s="169">
        <f>IF(AK44&lt;=Loans!$E$46,Loans!$L$51,"")</f>
      </c>
      <c r="AL55" s="169">
        <f>IF(AL44&lt;=Loans!$E$46,Loans!$L$51,"")</f>
      </c>
      <c r="AM55" s="169">
        <f>IF(AM44&lt;=Loans!$E$46,Loans!$L$51,"")</f>
      </c>
      <c r="AN55" s="169">
        <f>IF(AN44&lt;=Loans!$E$46,Loans!$L$51,"")</f>
      </c>
      <c r="AO55" s="169">
        <f>IF(AO44&lt;=Loans!$E$46,Loans!$L$51,"")</f>
      </c>
      <c r="AP55" s="169">
        <f>IF(AP44&lt;=Loans!$E$46,Loans!$L$51,"")</f>
      </c>
      <c r="AQ55" s="169">
        <f>IF(AQ44&lt;=Loans!$E$46,Loans!$L$51,"")</f>
      </c>
      <c r="AR55" s="169"/>
      <c r="AS55" s="169"/>
    </row>
    <row r="56" spans="1:45" s="160" customFormat="1" ht="12.75" customHeight="1">
      <c r="A56" s="213"/>
      <c r="B56" s="560"/>
      <c r="C56" s="180" t="str">
        <f>Loans!E53&amp;" Year Loanstock"</f>
        <v>20 Year Loanstock</v>
      </c>
      <c r="D56" s="169">
        <f>IF(D44&lt;=Loans!$E$53,Loans!$L$58,"")</f>
        <v>0</v>
      </c>
      <c r="E56" s="169">
        <f>IF(E44&lt;=Loans!$E$53,Loans!$L$58,"")</f>
        <v>0</v>
      </c>
      <c r="F56" s="169">
        <f>IF(F44&lt;=Loans!$E$53,Loans!$L$58,"")</f>
        <v>0</v>
      </c>
      <c r="G56" s="169">
        <f>IF(G44&lt;=Loans!$E$53,Loans!$L$58,"")</f>
        <v>0</v>
      </c>
      <c r="H56" s="169">
        <f>IF(H44&lt;=Loans!$E$53,Loans!$L$58,"")</f>
        <v>0</v>
      </c>
      <c r="I56" s="169">
        <f>IF(I44&lt;=Loans!$E$53,Loans!$L$58,"")</f>
        <v>0</v>
      </c>
      <c r="J56" s="169">
        <f>IF(J44&lt;=Loans!$E$53,Loans!$L$58,"")</f>
        <v>0</v>
      </c>
      <c r="K56" s="169">
        <f>IF(K44&lt;=Loans!$E$53,Loans!$L$58,"")</f>
        <v>0</v>
      </c>
      <c r="L56" s="169">
        <f>IF(L44&lt;=Loans!$E$53,Loans!$L$58,"")</f>
        <v>0</v>
      </c>
      <c r="M56" s="169">
        <f>IF(M44&lt;=Loans!$E$53,Loans!$L$58,"")</f>
        <v>0</v>
      </c>
      <c r="N56" s="169">
        <f>IF(N44&lt;=Loans!$E$53,Loans!$L$58,"")</f>
        <v>0</v>
      </c>
      <c r="O56" s="169">
        <f>IF(O44&lt;=Loans!$E$53,Loans!$L$58,"")</f>
        <v>0</v>
      </c>
      <c r="P56" s="169">
        <f>IF(P44&lt;=Loans!$E$53,Loans!$L$58,"")</f>
        <v>0</v>
      </c>
      <c r="Q56" s="169">
        <f>IF(Q44&lt;=Loans!$E$53,Loans!$L$58,"")</f>
        <v>0</v>
      </c>
      <c r="R56" s="169">
        <f>IF(R44&lt;=Loans!$E$53,Loans!$L$58,"")</f>
        <v>0</v>
      </c>
      <c r="S56" s="169">
        <f>IF(S44&lt;=Loans!$E$53,Loans!$L$58,"")</f>
        <v>0</v>
      </c>
      <c r="T56" s="169">
        <f>IF(T44&lt;=Loans!$E$53,Loans!$L$58,"")</f>
        <v>0</v>
      </c>
      <c r="U56" s="169">
        <f>IF(U44&lt;=Loans!$E$53,Loans!$L$58,"")</f>
        <v>0</v>
      </c>
      <c r="V56" s="169">
        <f>IF(V44&lt;=Loans!$E$53,Loans!$L$58,"")</f>
        <v>0</v>
      </c>
      <c r="W56" s="169">
        <f>IF(W44&lt;=Loans!$E$53,Loans!$L$58,"")</f>
        <v>0</v>
      </c>
      <c r="X56" s="169">
        <f>IF(X44&lt;=Loans!$E$53,Loans!$L$58,"")</f>
      </c>
      <c r="Y56" s="169">
        <f>IF(Y44&lt;=Loans!$E$53,Loans!$L$58,"")</f>
      </c>
      <c r="Z56" s="169">
        <f>IF(Z44&lt;=Loans!$E$53,Loans!$L$58,"")</f>
      </c>
      <c r="AA56" s="169">
        <f>IF(AA44&lt;=Loans!$E$53,Loans!$L$58,"")</f>
      </c>
      <c r="AB56" s="169">
        <f>IF(AB44&lt;=Loans!$E$53,Loans!$L$58,"")</f>
      </c>
      <c r="AC56" s="169">
        <f>IF(AC44&lt;=Loans!$E$53,Loans!$L$58,"")</f>
      </c>
      <c r="AD56" s="169">
        <f>IF(AD44&lt;=Loans!$E$53,Loans!$L$58,"")</f>
      </c>
      <c r="AE56" s="169">
        <f>IF(AE44&lt;=Loans!$E$53,Loans!$L$58,"")</f>
      </c>
      <c r="AF56" s="169">
        <f>IF(AF44&lt;=Loans!$E$53,Loans!$L$58,"")</f>
      </c>
      <c r="AG56" s="169">
        <f>IF(AG44&lt;=Loans!$E$53,Loans!$L$58,"")</f>
      </c>
      <c r="AH56" s="169">
        <f>IF(AH44&lt;=Loans!$E$53,Loans!$L$58,"")</f>
      </c>
      <c r="AI56" s="169">
        <f>IF(AI44&lt;=Loans!$E$53,Loans!$L$58,"")</f>
      </c>
      <c r="AJ56" s="169">
        <f>IF(AJ44&lt;=Loans!$E$53,Loans!$L$58,"")</f>
      </c>
      <c r="AK56" s="169">
        <f>IF(AK44&lt;=Loans!$E$53,Loans!$L$58,"")</f>
      </c>
      <c r="AL56" s="169">
        <f>IF(AL44&lt;=Loans!$E$53,Loans!$L$58,"")</f>
      </c>
      <c r="AM56" s="169">
        <f>IF(AM44&lt;=Loans!$E$53,Loans!$L$58,"")</f>
      </c>
      <c r="AN56" s="169">
        <f>IF(AN44&lt;=Loans!$E$53,Loans!$L$58,"")</f>
      </c>
      <c r="AO56" s="169">
        <f>IF(AO44&lt;=Loans!$E$53,Loans!$L$58,"")</f>
      </c>
      <c r="AP56" s="169">
        <f>IF(AP44&lt;=Loans!$E$53,Loans!$L$58,"")</f>
      </c>
      <c r="AQ56" s="169">
        <f>IF(AQ44&lt;=Loans!$E$53,Loans!$L$58,"")</f>
      </c>
      <c r="AR56" s="169"/>
      <c r="AS56" s="169"/>
    </row>
    <row r="57" spans="1:45" s="160" customFormat="1" ht="12.75" customHeight="1">
      <c r="A57" s="213"/>
      <c r="B57" s="560"/>
      <c r="C57" s="180" t="str">
        <f>Loans!E60&amp;" Year Loanstock"</f>
        <v>25 Year Loanstock</v>
      </c>
      <c r="D57" s="169">
        <f>IF(D44&lt;=Loans!$E$60,Loans!$L$65,"")</f>
        <v>0</v>
      </c>
      <c r="E57" s="169">
        <f>IF(E44&lt;=Loans!$E$60,Loans!$L$65,"")</f>
        <v>0</v>
      </c>
      <c r="F57" s="169">
        <f>IF(F44&lt;=Loans!$E$60,Loans!$L$65,"")</f>
        <v>0</v>
      </c>
      <c r="G57" s="169">
        <f>IF(G44&lt;=Loans!$E$60,Loans!$L$65,"")</f>
        <v>0</v>
      </c>
      <c r="H57" s="169">
        <f>IF(H44&lt;=Loans!$E$60,Loans!$L$65,"")</f>
        <v>0</v>
      </c>
      <c r="I57" s="169">
        <f>IF(I44&lt;=Loans!$E$60,Loans!$L$65,"")</f>
        <v>0</v>
      </c>
      <c r="J57" s="169">
        <f>IF(J44&lt;=Loans!$E$60,Loans!$L$65,"")</f>
        <v>0</v>
      </c>
      <c r="K57" s="169">
        <f>IF(K44&lt;=Loans!$E$60,Loans!$L$65,"")</f>
        <v>0</v>
      </c>
      <c r="L57" s="169">
        <f>IF(L44&lt;=Loans!$E$60,Loans!$L$65,"")</f>
        <v>0</v>
      </c>
      <c r="M57" s="169">
        <f>IF(M44&lt;=Loans!$E$60,Loans!$L$65,"")</f>
        <v>0</v>
      </c>
      <c r="N57" s="169">
        <f>IF(N44&lt;=Loans!$E$60,Loans!$L$65,"")</f>
        <v>0</v>
      </c>
      <c r="O57" s="169">
        <f>IF(O44&lt;=Loans!$E$60,Loans!$L$65,"")</f>
        <v>0</v>
      </c>
      <c r="P57" s="169">
        <f>IF(P44&lt;=Loans!$E$60,Loans!$L$65,"")</f>
        <v>0</v>
      </c>
      <c r="Q57" s="169">
        <f>IF(Q44&lt;=Loans!$E$60,Loans!$L$65,"")</f>
        <v>0</v>
      </c>
      <c r="R57" s="169">
        <f>IF(R44&lt;=Loans!$E$60,Loans!$L$65,"")</f>
        <v>0</v>
      </c>
      <c r="S57" s="169">
        <f>IF(S44&lt;=Loans!$E$60,Loans!$L$65,"")</f>
        <v>0</v>
      </c>
      <c r="T57" s="169">
        <f>IF(T44&lt;=Loans!$E$60,Loans!$L$65,"")</f>
        <v>0</v>
      </c>
      <c r="U57" s="169">
        <f>IF(U44&lt;=Loans!$E$60,Loans!$L$65,"")</f>
        <v>0</v>
      </c>
      <c r="V57" s="169">
        <f>IF(V44&lt;=Loans!$E$60,Loans!$L$65,"")</f>
        <v>0</v>
      </c>
      <c r="W57" s="169">
        <f>IF(W44&lt;=Loans!$E$60,Loans!$L$65,"")</f>
        <v>0</v>
      </c>
      <c r="X57" s="169">
        <f>IF(X44&lt;=Loans!$E$60,Loans!$L$65,"")</f>
        <v>0</v>
      </c>
      <c r="Y57" s="169">
        <f>IF(Y44&lt;=Loans!$E$60,Loans!$L$65,"")</f>
        <v>0</v>
      </c>
      <c r="Z57" s="169">
        <f>IF(Z44&lt;=Loans!$E$60,Loans!$L$65,"")</f>
        <v>0</v>
      </c>
      <c r="AA57" s="169">
        <f>IF(AA44&lt;=Loans!$E$60,Loans!$L$65,"")</f>
        <v>0</v>
      </c>
      <c r="AB57" s="169">
        <f>IF(AB44&lt;=Loans!$E$60,Loans!$L$65,"")</f>
        <v>0</v>
      </c>
      <c r="AC57" s="169">
        <f>IF(AC44&lt;=Loans!$E$60,Loans!$L$65,"")</f>
      </c>
      <c r="AD57" s="169">
        <f>IF(AD44&lt;=Loans!$E$60,Loans!$L$65,"")</f>
      </c>
      <c r="AE57" s="169">
        <f>IF(AE44&lt;=Loans!$E$60,Loans!$L$65,"")</f>
      </c>
      <c r="AF57" s="169">
        <f>IF(AF44&lt;=Loans!$E$60,Loans!$L$65,"")</f>
      </c>
      <c r="AG57" s="169">
        <f>IF(AG44&lt;=Loans!$E$60,Loans!$L$65,"")</f>
      </c>
      <c r="AH57" s="169">
        <f>IF(AH44&lt;=Loans!$E$60,Loans!$L$65,"")</f>
      </c>
      <c r="AI57" s="169">
        <f>IF(AI44&lt;=Loans!$E$60,Loans!$L$65,"")</f>
      </c>
      <c r="AJ57" s="169">
        <f>IF(AJ44&lt;=Loans!$E$60,Loans!$L$65,"")</f>
      </c>
      <c r="AK57" s="169">
        <f>IF(AK44&lt;=Loans!$E$60,Loans!$L$65,"")</f>
      </c>
      <c r="AL57" s="169">
        <f>IF(AL44&lt;=Loans!$E$60,Loans!$L$65,"")</f>
      </c>
      <c r="AM57" s="169">
        <f>IF(AM44&lt;=Loans!$E$60,Loans!$L$65,"")</f>
      </c>
      <c r="AN57" s="169">
        <f>IF(AN44&lt;=Loans!$E$60,Loans!$L$65,"")</f>
      </c>
      <c r="AO57" s="169">
        <f>IF(AO44&lt;=Loans!$E$60,Loans!$L$65,"")</f>
      </c>
      <c r="AP57" s="169">
        <f>IF(AP44&lt;=Loans!$E$60,Loans!$L$65,"")</f>
      </c>
      <c r="AQ57" s="169">
        <f>IF(AQ44&lt;=Loans!$E$60,Loans!$L$65,"")</f>
      </c>
      <c r="AR57" s="169"/>
      <c r="AS57" s="169"/>
    </row>
    <row r="58" spans="1:45" s="160" customFormat="1" ht="12.75" customHeight="1">
      <c r="A58" s="213"/>
      <c r="B58" s="560"/>
      <c r="C58" s="180" t="str">
        <f>Loans!E67&amp;" Year Loanstock"</f>
        <v>30 Year Loanstock</v>
      </c>
      <c r="D58" s="169">
        <f>IF(D44&lt;=Loans!$E$67,Loans!$L$72,"")</f>
        <v>0</v>
      </c>
      <c r="E58" s="169">
        <f>IF(E44&lt;=Loans!$E$67,Loans!$L$72,"")</f>
        <v>0</v>
      </c>
      <c r="F58" s="169">
        <f>IF(F44&lt;=Loans!$E$67,Loans!$L$72,"")</f>
        <v>0</v>
      </c>
      <c r="G58" s="169">
        <f>IF(G44&lt;=Loans!$E$67,Loans!$L$72,"")</f>
        <v>0</v>
      </c>
      <c r="H58" s="169">
        <f>IF(H44&lt;=Loans!$E$67,Loans!$L$72,"")</f>
        <v>0</v>
      </c>
      <c r="I58" s="169">
        <f>IF(I44&lt;=Loans!$E$67,Loans!$L$72,"")</f>
        <v>0</v>
      </c>
      <c r="J58" s="169">
        <f>IF(J44&lt;=Loans!$E$67,Loans!$L$72,"")</f>
        <v>0</v>
      </c>
      <c r="K58" s="169">
        <f>IF(K44&lt;=Loans!$E$67,Loans!$L$72,"")</f>
        <v>0</v>
      </c>
      <c r="L58" s="169">
        <f>IF(L44&lt;=Loans!$E$67,Loans!$L$72,"")</f>
        <v>0</v>
      </c>
      <c r="M58" s="169">
        <f>IF(M44&lt;=Loans!$E$67,Loans!$L$72,"")</f>
        <v>0</v>
      </c>
      <c r="N58" s="169">
        <f>IF(N44&lt;=Loans!$E$67,Loans!$L$72,"")</f>
        <v>0</v>
      </c>
      <c r="O58" s="169">
        <f>IF(O44&lt;=Loans!$E$67,Loans!$L$72,"")</f>
        <v>0</v>
      </c>
      <c r="P58" s="169">
        <f>IF(P44&lt;=Loans!$E$67,Loans!$L$72,"")</f>
        <v>0</v>
      </c>
      <c r="Q58" s="169">
        <f>IF(Q44&lt;=Loans!$E$67,Loans!$L$72,"")</f>
        <v>0</v>
      </c>
      <c r="R58" s="169">
        <f>IF(R44&lt;=Loans!$E$67,Loans!$L$72,"")</f>
        <v>0</v>
      </c>
      <c r="S58" s="169">
        <f>IF(S44&lt;=Loans!$E$67,Loans!$L$72,"")</f>
        <v>0</v>
      </c>
      <c r="T58" s="169">
        <f>IF(T44&lt;=Loans!$E$67,Loans!$L$72,"")</f>
        <v>0</v>
      </c>
      <c r="U58" s="169">
        <f>IF(U44&lt;=Loans!$E$67,Loans!$L$72,"")</f>
        <v>0</v>
      </c>
      <c r="V58" s="169">
        <f>IF(V44&lt;=Loans!$E$67,Loans!$L$72,"")</f>
        <v>0</v>
      </c>
      <c r="W58" s="169">
        <f>IF(W44&lt;=Loans!$E$67,Loans!$L$72,"")</f>
        <v>0</v>
      </c>
      <c r="X58" s="169">
        <f>IF(X44&lt;=Loans!$E$67,Loans!$L$72,"")</f>
        <v>0</v>
      </c>
      <c r="Y58" s="169">
        <f>IF(Y44&lt;=Loans!$E$67,Loans!$L$72,"")</f>
        <v>0</v>
      </c>
      <c r="Z58" s="169">
        <f>IF(Z44&lt;=Loans!$E$67,Loans!$L$72,"")</f>
        <v>0</v>
      </c>
      <c r="AA58" s="169">
        <f>IF(AA44&lt;=Loans!$E$67,Loans!$L$72,"")</f>
        <v>0</v>
      </c>
      <c r="AB58" s="169">
        <f>IF(AB44&lt;=Loans!$E$67,Loans!$L$72,"")</f>
        <v>0</v>
      </c>
      <c r="AC58" s="169">
        <f>IF(AC44&lt;=Loans!$E$67,Loans!$L$72,"")</f>
        <v>0</v>
      </c>
      <c r="AD58" s="169">
        <f>IF(AD44&lt;=Loans!$E$67,Loans!$L$72,"")</f>
        <v>0</v>
      </c>
      <c r="AE58" s="169">
        <f>IF(AE44&lt;=Loans!$E$67,Loans!$L$72,"")</f>
        <v>0</v>
      </c>
      <c r="AF58" s="169"/>
      <c r="AG58" s="169">
        <f>IF(AG44&lt;=Loans!$E$67,Loans!$L$72,"")</f>
        <v>0</v>
      </c>
      <c r="AH58" s="169">
        <f>IF(AH44&lt;=Loans!$E$67,Loans!$L$72,"")</f>
      </c>
      <c r="AI58" s="169">
        <f>IF(AI44&lt;=Loans!$E$67,Loans!$L$72,"")</f>
      </c>
      <c r="AJ58" s="169">
        <f>IF(AJ44&lt;=Loans!$E$67,Loans!$L$72,"")</f>
      </c>
      <c r="AK58" s="169">
        <f>IF(AK44&lt;=Loans!$E$67,Loans!$L$72,"")</f>
      </c>
      <c r="AL58" s="169">
        <f>IF(AL44&lt;=Loans!$E$67,Loans!$L$72,"")</f>
      </c>
      <c r="AM58" s="169">
        <f>IF(AM44&lt;=Loans!$E$67,Loans!$L$72,"")</f>
      </c>
      <c r="AN58" s="169">
        <f>IF(AN44&lt;=Loans!$E$67,Loans!$L$72,"")</f>
      </c>
      <c r="AO58" s="169">
        <f>IF(AO44&lt;=Loans!$E$67,Loans!$L$72,"")</f>
      </c>
      <c r="AP58" s="169">
        <f>IF(AP44&lt;=Loans!$E$67,Loans!$L$72,"")</f>
      </c>
      <c r="AQ58" s="169">
        <f>IF(AQ44&lt;=Loans!$E$67,Loans!$L$72,"")</f>
      </c>
      <c r="AR58" s="169"/>
      <c r="AS58" s="169"/>
    </row>
    <row r="59" spans="1:45" s="160" customFormat="1" ht="12.75" customHeight="1">
      <c r="A59" s="213"/>
      <c r="B59" s="560"/>
      <c r="C59" s="180" t="str">
        <f>Loans!E74&amp;" Year Loanstock"</f>
        <v>35 Year Loanstock</v>
      </c>
      <c r="D59" s="169">
        <f>IF(D44&lt;=Loans!$E$74,Loans!$L$79,"")</f>
        <v>0</v>
      </c>
      <c r="E59" s="169">
        <f>IF(E44&lt;=Loans!$E$74,Loans!$L$79,"")</f>
        <v>0</v>
      </c>
      <c r="F59" s="169">
        <f>IF(F44&lt;=Loans!$E$74,Loans!$L$79,"")</f>
        <v>0</v>
      </c>
      <c r="G59" s="169">
        <f>IF(G44&lt;=Loans!$E$74,Loans!$L$79,"")</f>
        <v>0</v>
      </c>
      <c r="H59" s="169">
        <f>IF(H44&lt;=Loans!$E$74,Loans!$L$79,"")</f>
        <v>0</v>
      </c>
      <c r="I59" s="169">
        <f>IF(I44&lt;=Loans!$E$74,Loans!$L$79,"")</f>
        <v>0</v>
      </c>
      <c r="J59" s="169">
        <f>IF(J44&lt;=Loans!$E$74,Loans!$L$79,"")</f>
        <v>0</v>
      </c>
      <c r="K59" s="169">
        <f>IF(K44&lt;=Loans!$E$74,Loans!$L$79,"")</f>
        <v>0</v>
      </c>
      <c r="L59" s="169">
        <f>IF(L44&lt;=Loans!$E$74,Loans!$L$79,"")</f>
        <v>0</v>
      </c>
      <c r="M59" s="169">
        <f>IF(M44&lt;=Loans!$E$74,Loans!$L$79,"")</f>
        <v>0</v>
      </c>
      <c r="N59" s="169">
        <f>IF(N44&lt;=Loans!$E$74,Loans!$L$79,"")</f>
        <v>0</v>
      </c>
      <c r="O59" s="169">
        <f>IF(O44&lt;=Loans!$E$74,Loans!$L$79,"")</f>
        <v>0</v>
      </c>
      <c r="P59" s="169">
        <f>IF(P44&lt;=Loans!$E$74,Loans!$L$79,"")</f>
        <v>0</v>
      </c>
      <c r="Q59" s="169">
        <f>IF(Q44&lt;=Loans!$E$74,Loans!$L$79,"")</f>
        <v>0</v>
      </c>
      <c r="R59" s="169">
        <f>IF(R44&lt;=Loans!$E$74,Loans!$L$79,"")</f>
        <v>0</v>
      </c>
      <c r="S59" s="169">
        <f>IF(S44&lt;=Loans!$E$74,Loans!$L$79,"")</f>
        <v>0</v>
      </c>
      <c r="T59" s="169">
        <f>IF(T44&lt;=Loans!$E$74,Loans!$L$79,"")</f>
        <v>0</v>
      </c>
      <c r="U59" s="169">
        <f>IF(U44&lt;=Loans!$E$74,Loans!$L$79,"")</f>
        <v>0</v>
      </c>
      <c r="V59" s="169">
        <f>IF(V44&lt;=Loans!$E$74,Loans!$L$79,"")</f>
        <v>0</v>
      </c>
      <c r="W59" s="169">
        <f>IF(W44&lt;=Loans!$E$74,Loans!$L$79,"")</f>
        <v>0</v>
      </c>
      <c r="X59" s="169">
        <f>IF(X44&lt;=Loans!$E$74,Loans!$L$79,"")</f>
        <v>0</v>
      </c>
      <c r="Y59" s="169">
        <f>IF(Y44&lt;=Loans!$E$74,Loans!$L$79,"")</f>
        <v>0</v>
      </c>
      <c r="Z59" s="169">
        <f>IF(Z44&lt;=Loans!$E$74,Loans!$L$79,"")</f>
        <v>0</v>
      </c>
      <c r="AA59" s="169">
        <f>IF(AA44&lt;=Loans!$E$74,Loans!$L$79,"")</f>
        <v>0</v>
      </c>
      <c r="AB59" s="169">
        <f>IF(AB44&lt;=Loans!$E$74,Loans!$L$79,"")</f>
        <v>0</v>
      </c>
      <c r="AC59" s="169">
        <f>IF(AC44&lt;=Loans!$E$74,Loans!$L$79,"")</f>
        <v>0</v>
      </c>
      <c r="AD59" s="169">
        <f>IF(AD44&lt;=Loans!$E$74,Loans!$L$79,"")</f>
        <v>0</v>
      </c>
      <c r="AE59" s="169">
        <f>IF(AE44&lt;=Loans!$E$74,Loans!$L$79,"")</f>
        <v>0</v>
      </c>
      <c r="AF59" s="169">
        <f>IF(AF44&lt;=Loans!$E$74,Loans!$L$79,"")</f>
        <v>0</v>
      </c>
      <c r="AG59" s="169">
        <f>IF(AG44&lt;=Loans!$E$74,Loans!$L$79,"")</f>
        <v>0</v>
      </c>
      <c r="AH59" s="169">
        <f>IF(AH44&lt;=Loans!$E$74,Loans!$L$79,"")</f>
        <v>0</v>
      </c>
      <c r="AI59" s="169">
        <f>IF(AI44&lt;=Loans!$E$74,Loans!$L$79,"")</f>
        <v>0</v>
      </c>
      <c r="AJ59" s="169">
        <f>IF(AJ44&lt;=Loans!$E$74,Loans!$L$79,"")</f>
        <v>0</v>
      </c>
      <c r="AK59" s="169">
        <f>IF(AK44&lt;=Loans!$E$74,Loans!$L$79,"")</f>
        <v>0</v>
      </c>
      <c r="AL59" s="169">
        <f>IF(AL44&lt;=Loans!$E$74,Loans!$L$79,"")</f>
        <v>0</v>
      </c>
      <c r="AM59" s="169">
        <f>IF(AM44&lt;=Loans!$E$74,Loans!$L$79,"")</f>
      </c>
      <c r="AN59" s="169">
        <f>IF(AN44&lt;=Loans!$E$74,Loans!$L$79,"")</f>
      </c>
      <c r="AO59" s="169">
        <f>IF(AO44&lt;=Loans!$E$74,Loans!$L$79,"")</f>
      </c>
      <c r="AP59" s="169">
        <f>IF(AP44&lt;=Loans!$E$74,Loans!$L$79,"")</f>
      </c>
      <c r="AQ59" s="169">
        <f>IF(AQ44&lt;=Loans!$E$74,Loans!$L$79,"")</f>
      </c>
      <c r="AR59" s="169"/>
      <c r="AS59" s="169"/>
    </row>
    <row r="60" spans="1:45" s="160" customFormat="1" ht="12.75" customHeight="1">
      <c r="A60" s="213"/>
      <c r="B60" s="254"/>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row>
    <row r="61" spans="1:45" s="160" customFormat="1" ht="12.75" customHeight="1">
      <c r="A61" s="213"/>
      <c r="B61" s="561" t="s">
        <v>227</v>
      </c>
      <c r="C61" s="160" t="str">
        <f>Loans!E92&amp;" Year Loanstock at Year "&amp;Loans!D92</f>
        <v>5 Year Loanstock at Year 1</v>
      </c>
      <c r="D61" s="169">
        <f>IF(D$44&gt;Loans!$D$92,IF(D$44&lt;=(Loans!$E$92+Loans!$D$92),Loans!$L$94,0),0)</f>
        <v>0</v>
      </c>
      <c r="E61" s="169">
        <f>IF(E$44&gt;Loans!$D$92,IF(E$44&lt;=(Loans!$E$92+Loans!$D$92),Loans!$L$94,0),0)</f>
        <v>0</v>
      </c>
      <c r="F61" s="169">
        <f>IF(F$44&gt;Loans!$D$92,IF(F$44&lt;=(Loans!$E$92+Loans!$D$92),Loans!$L$94,0),0)</f>
        <v>0</v>
      </c>
      <c r="G61" s="169">
        <f>IF(G$44&gt;Loans!$D$92,IF(G$44&lt;=(Loans!$E$92+Loans!$D$92),Loans!$L$94,0),0)</f>
        <v>0</v>
      </c>
      <c r="H61" s="169">
        <f>IF(H$44&gt;Loans!$D$92,IF(H$44&lt;=(Loans!$E$92+Loans!$D$92),Loans!$L$94,0),0)</f>
        <v>0</v>
      </c>
      <c r="I61" s="169">
        <f>IF(I$44&gt;Loans!$D$92,IF(I$44&lt;=(Loans!$E$92+Loans!$D$92),Loans!$L$94,0),0)</f>
        <v>0</v>
      </c>
      <c r="J61" s="169">
        <f>IF(J$44&gt;Loans!$D$92,IF(J$44&lt;=(Loans!$E$92+Loans!$D$92),Loans!$L$94,0),0)</f>
        <v>0</v>
      </c>
      <c r="K61" s="169">
        <f>IF(K$44&gt;Loans!$D$92,IF(K$44&lt;=(Loans!$E$92+Loans!$D$92),Loans!$L$94,0),0)</f>
        <v>0</v>
      </c>
      <c r="L61" s="169">
        <f>IF(L$44&gt;Loans!$D$92,IF(L$44&lt;=(Loans!$E$92+Loans!$D$92),Loans!$L$94,0),0)</f>
        <v>0</v>
      </c>
      <c r="M61" s="169">
        <f>IF(M$44&gt;Loans!$D$92,IF(M$44&lt;=(Loans!$E$92+Loans!$D$92),Loans!$L$94,0),0)</f>
        <v>0</v>
      </c>
      <c r="N61" s="169">
        <f>IF(N$44&gt;Loans!$D$92,IF(N$44&lt;=(Loans!$E$92+Loans!$D$92),Loans!$L$94,0),0)</f>
        <v>0</v>
      </c>
      <c r="O61" s="169">
        <f>IF(O$44&gt;Loans!$D$92,IF(O$44&lt;=(Loans!$E$92+Loans!$D$92),Loans!$L$94,0),0)</f>
        <v>0</v>
      </c>
      <c r="P61" s="169">
        <f>IF(P$44&gt;Loans!$D$92,IF(P$44&lt;=(Loans!$E$92+Loans!$D$92),Loans!$L$94,0),0)</f>
        <v>0</v>
      </c>
      <c r="Q61" s="169">
        <f>IF(Q$44&gt;Loans!$D$92,IF(Q$44&lt;=(Loans!$E$92+Loans!$D$92),Loans!$L$94,0),0)</f>
        <v>0</v>
      </c>
      <c r="R61" s="169">
        <f>IF(R$44&gt;Loans!$D$92,IF(R$44&lt;=(Loans!$E$92+Loans!$D$92),Loans!$L$94,0),0)</f>
        <v>0</v>
      </c>
      <c r="S61" s="169">
        <f>IF(S$44&gt;Loans!$D$92,IF(S$44&lt;=(Loans!$E$92+Loans!$D$92),Loans!$L$94,0),0)</f>
        <v>0</v>
      </c>
      <c r="T61" s="169">
        <f>IF(T$44&gt;Loans!$D$92,IF(T$44&lt;=(Loans!$E$92+Loans!$D$92),Loans!$L$94,0),0)</f>
        <v>0</v>
      </c>
      <c r="U61" s="169">
        <f>IF(U$44&gt;Loans!$D$92,IF(U$44&lt;=(Loans!$E$92+Loans!$D$92),Loans!$L$94,0),0)</f>
        <v>0</v>
      </c>
      <c r="V61" s="169">
        <f>IF(V$44&gt;Loans!$D$92,IF(V$44&lt;=(Loans!$E$92+Loans!$D$92),Loans!$L$94,0),0)</f>
        <v>0</v>
      </c>
      <c r="W61" s="169">
        <f>IF(W$44&gt;Loans!$D$92,IF(W$44&lt;=(Loans!$E$92+Loans!$D$92),Loans!$L$94,0),0)</f>
        <v>0</v>
      </c>
      <c r="X61" s="169">
        <f>IF(X$44&gt;Loans!$D$92,IF(X$44&lt;=(Loans!$E$92+Loans!$D$92),Loans!$L$94,0),0)</f>
        <v>0</v>
      </c>
      <c r="Y61" s="169">
        <f>IF(Y$44&gt;Loans!$D$92,IF(Y$44&lt;=(Loans!$E$92+Loans!$D$92),Loans!$L$94,0),0)</f>
        <v>0</v>
      </c>
      <c r="Z61" s="169">
        <f>IF(Z$44&gt;Loans!$D$92,IF(Z$44&lt;=(Loans!$E$92+Loans!$D$92),Loans!$L$94,0),0)</f>
        <v>0</v>
      </c>
      <c r="AA61" s="169">
        <f>IF(AA$44&gt;Loans!$D$92,IF(AA$44&lt;=(Loans!$E$92+Loans!$D$92),Loans!$L$94,0),0)</f>
        <v>0</v>
      </c>
      <c r="AB61" s="169">
        <f>IF(AB$44&gt;Loans!$D$92,IF(AB$44&lt;=(Loans!$E$92+Loans!$D$92),Loans!$L$94,0),0)</f>
        <v>0</v>
      </c>
      <c r="AC61" s="169">
        <f>IF(AC$44&gt;Loans!$D$92,IF(AC$44&lt;=(Loans!$E$92+Loans!$D$92),Loans!$L$94,0),0)</f>
        <v>0</v>
      </c>
      <c r="AD61" s="169">
        <f>IF(AD$44&gt;Loans!$D$92,IF(AD$44&lt;=(Loans!$E$92+Loans!$D$92),Loans!$L$94,0),0)</f>
        <v>0</v>
      </c>
      <c r="AE61" s="169">
        <f>IF(AE$44&gt;Loans!$D$92,IF(AE$44&lt;=(Loans!$E$92+Loans!$D$92),Loans!$L$94,0),0)</f>
        <v>0</v>
      </c>
      <c r="AF61" s="169">
        <f>IF(AF$44&gt;Loans!$D$92,IF(AF$44&lt;=(Loans!$E$92+Loans!$D$92),Loans!$L$94,0),0)</f>
        <v>0</v>
      </c>
      <c r="AG61" s="169">
        <f>IF(AG$44&gt;Loans!$D$92,IF(AG$44&lt;=(Loans!$E$92+Loans!$D$92),Loans!$L$94,0),0)</f>
        <v>0</v>
      </c>
      <c r="AH61" s="169">
        <f>IF(AH$44&gt;Loans!$D$92,IF(AH$44&lt;=(Loans!$E$92+Loans!$D$92),Loans!$L$94,0),0)</f>
        <v>0</v>
      </c>
      <c r="AI61" s="169">
        <f>IF(AI$44&gt;Loans!$D$92,IF(AI$44&lt;=(Loans!$E$92+Loans!$D$92),Loans!$L$94,0),0)</f>
        <v>0</v>
      </c>
      <c r="AJ61" s="169">
        <f>IF(AJ$44&gt;Loans!$D$92,IF(AJ$44&lt;=(Loans!$E$92+Loans!$D$92),Loans!$L$94,0),0)</f>
        <v>0</v>
      </c>
      <c r="AK61" s="169">
        <f>IF(AK$44&gt;Loans!$D$92,IF(AK$44&lt;=(Loans!$E$92+Loans!$D$92),Loans!$L$94,0),0)</f>
        <v>0</v>
      </c>
      <c r="AL61" s="169">
        <f>IF(AL$44&gt;Loans!$D$92,IF(AL$44&lt;=(Loans!$E$92+Loans!$D$92),Loans!$L$94,0),0)</f>
        <v>0</v>
      </c>
      <c r="AM61" s="169">
        <f>IF(AM$44&gt;Loans!$D$92,IF(AM$44&lt;=(Loans!$E$92+Loans!$D$92),Loans!$L$94,0),0)</f>
        <v>0</v>
      </c>
      <c r="AN61" s="169">
        <f>IF(AN$44&gt;Loans!$D$92,IF(AN$44&lt;=(Loans!$E$92+Loans!$D$92),Loans!$L$94,0),0)</f>
        <v>0</v>
      </c>
      <c r="AO61" s="169">
        <f>IF(AO$44&gt;Loans!$D$92,IF(AO$44&lt;=(Loans!$E$92+Loans!$D$92),Loans!$L$94,0),0)</f>
        <v>0</v>
      </c>
      <c r="AP61" s="169">
        <f>IF(AP$44&gt;Loans!$D$92,IF(AP$44&lt;=(Loans!$E$92+Loans!$D$92),Loans!$L$94,0),0)</f>
        <v>0</v>
      </c>
      <c r="AQ61" s="169">
        <f>IF(AQ$44&gt;Loans!$D$92,IF(AQ$44&lt;=(Loans!$E$92+Loans!$D$92),Loans!$L$94,0),0)</f>
        <v>0</v>
      </c>
      <c r="AR61" s="169"/>
      <c r="AS61" s="169"/>
    </row>
    <row r="62" spans="1:45" s="160" customFormat="1" ht="12.75" customHeight="1">
      <c r="A62" s="213"/>
      <c r="B62" s="561"/>
      <c r="C62" s="160" t="s">
        <v>228</v>
      </c>
      <c r="D62" s="169">
        <f>IF(D$44&gt;Loans!$D$97,IF(D$44&lt;=(Loans!$E$97+Loans!$D$97),Loans!$L$99,0),0)</f>
        <v>0</v>
      </c>
      <c r="E62" s="169">
        <f>IF(E$44&gt;Loans!$D$97,IF(E$44&lt;=(Loans!$E$97+Loans!$D$97),Loans!$L$99,0),0)</f>
        <v>0</v>
      </c>
      <c r="F62" s="169">
        <f>IF(F$44&gt;Loans!$D$97,IF(F$44&lt;=(Loans!$E$97+Loans!$D$97),Loans!$L$99,0),0)</f>
        <v>0</v>
      </c>
      <c r="G62" s="169">
        <f>IF(G$44&gt;Loans!$D$97,IF(G$44&lt;=(Loans!$E$97+Loans!$D$97),Loans!$L$99,0),0)</f>
        <v>0</v>
      </c>
      <c r="H62" s="169">
        <f>IF(H$44&gt;Loans!$D$97,IF(H$44&lt;=(Loans!$E$97+Loans!$D$97),Loans!$L$99,0),0)</f>
        <v>0</v>
      </c>
      <c r="I62" s="169">
        <f>IF(I$44&gt;Loans!$D$97,IF(I$44&lt;=(Loans!$E$97+Loans!$D$97),Loans!$L$99,0),0)</f>
        <v>0</v>
      </c>
      <c r="J62" s="169">
        <f>IF(J$44&gt;Loans!$D$97,IF(J$44&lt;=(Loans!$E$97+Loans!$D$97),Loans!$L$99,0),0)</f>
        <v>0</v>
      </c>
      <c r="K62" s="169">
        <f>IF(K$44&gt;Loans!$D$97,IF(K$44&lt;=(Loans!$E$97+Loans!$D$97),Loans!$L$99,0),0)</f>
        <v>0</v>
      </c>
      <c r="L62" s="169">
        <f>IF(L$44&gt;Loans!$D$97,IF(L$44&lt;=(Loans!$E$97+Loans!$D$97),Loans!$L$99,0),0)</f>
        <v>0</v>
      </c>
      <c r="M62" s="169">
        <f>IF(M$44&gt;Loans!$D$97,IF(M$44&lt;=(Loans!$E$97+Loans!$D$97),Loans!$L$99,0),0)</f>
        <v>0</v>
      </c>
      <c r="N62" s="169">
        <f>IF(N$44&gt;Loans!$D$97,IF(N$44&lt;=(Loans!$E$97+Loans!$D$97),Loans!$L$99,0),0)</f>
        <v>0</v>
      </c>
      <c r="O62" s="169">
        <f>IF(O$44&gt;Loans!$D$97,IF(O$44&lt;=(Loans!$E$97+Loans!$D$97),Loans!$L$99,0),0)</f>
        <v>0</v>
      </c>
      <c r="P62" s="169">
        <f>IF(P$44&gt;Loans!$D$97,IF(P$44&lt;=(Loans!$E$97+Loans!$D$97),Loans!$L$99,0),0)</f>
        <v>0</v>
      </c>
      <c r="Q62" s="169">
        <f>IF(Q$44&gt;Loans!$D$97,IF(Q$44&lt;=(Loans!$E$97+Loans!$D$97),Loans!$L$99,0),0)</f>
        <v>0</v>
      </c>
      <c r="R62" s="169">
        <f>IF(R$44&gt;Loans!$D$97,IF(R$44&lt;=(Loans!$E$97+Loans!$D$97),Loans!$L$99,0),0)</f>
        <v>0</v>
      </c>
      <c r="S62" s="169">
        <f>IF(S$44&gt;Loans!$D$97,IF(S$44&lt;=(Loans!$E$97+Loans!$D$97),Loans!$L$99,0),0)</f>
        <v>0</v>
      </c>
      <c r="T62" s="169">
        <f>IF(T$44&gt;Loans!$D$97,IF(T$44&lt;=(Loans!$E$97+Loans!$D$97),Loans!$L$99,0),0)</f>
        <v>0</v>
      </c>
      <c r="U62" s="169">
        <f>IF(U$44&gt;Loans!$D$97,IF(U$44&lt;=(Loans!$E$97+Loans!$D$97),Loans!$L$99,0),0)</f>
        <v>0</v>
      </c>
      <c r="V62" s="169">
        <f>IF(V$44&gt;Loans!$D$97,IF(V$44&lt;=(Loans!$E$97+Loans!$D$97),Loans!$L$99,0),0)</f>
        <v>0</v>
      </c>
      <c r="W62" s="169">
        <f>IF(W$44&gt;Loans!$D$97,IF(W$44&lt;=(Loans!$E$97+Loans!$D$97),Loans!$L$99,0),0)</f>
        <v>0</v>
      </c>
      <c r="X62" s="169">
        <f>IF(X$44&gt;Loans!$D$97,IF(X$44&lt;=(Loans!$E$97+Loans!$D$97),Loans!$L$99,0),0)</f>
        <v>0</v>
      </c>
      <c r="Y62" s="169">
        <f>IF(Y$44&gt;Loans!$D$97,IF(Y$44&lt;=(Loans!$E$97+Loans!$D$97),Loans!$L$99,0),0)</f>
        <v>0</v>
      </c>
      <c r="Z62" s="169">
        <f>IF(Z$44&gt;Loans!$D$97,IF(Z$44&lt;=(Loans!$E$97+Loans!$D$97),Loans!$L$99,0),0)</f>
        <v>0</v>
      </c>
      <c r="AA62" s="169">
        <f>IF(AA$44&gt;Loans!$D$97,IF(AA$44&lt;=(Loans!$E$97+Loans!$D$97),Loans!$L$99,0),0)</f>
        <v>0</v>
      </c>
      <c r="AB62" s="169">
        <f>IF(AB$44&gt;Loans!$D$97,IF(AB$44&lt;=(Loans!$E$97+Loans!$D$97),Loans!$L$99,0),0)</f>
        <v>0</v>
      </c>
      <c r="AC62" s="169">
        <f>IF(AC$44&gt;Loans!$D$97,IF(AC$44&lt;=(Loans!$E$97+Loans!$D$97),Loans!$L$99,0),0)</f>
        <v>0</v>
      </c>
      <c r="AD62" s="169">
        <f>IF(AD$44&gt;Loans!$D$97,IF(AD$44&lt;=(Loans!$E$97+Loans!$D$97),Loans!$L$99,0),0)</f>
        <v>0</v>
      </c>
      <c r="AE62" s="169">
        <f>IF(AE$44&gt;Loans!$D$97,IF(AE$44&lt;=(Loans!$E$97+Loans!$D$97),Loans!$L$99,0),0)</f>
        <v>0</v>
      </c>
      <c r="AF62" s="169">
        <f>IF(AF$44&gt;Loans!$D$97,IF(AF$44&lt;=(Loans!$E$97+Loans!$D$97),Loans!$L$99,0),0)</f>
        <v>0</v>
      </c>
      <c r="AG62" s="169">
        <f>IF(AG$44&gt;Loans!$D$97,IF(AG$44&lt;=(Loans!$E$97+Loans!$D$97),Loans!$L$99,0),0)</f>
        <v>0</v>
      </c>
      <c r="AH62" s="169">
        <f>IF(AH$44&gt;Loans!$D$97,IF(AH$44&lt;=(Loans!$E$97+Loans!$D$97),Loans!$L$99,0),0)</f>
        <v>0</v>
      </c>
      <c r="AI62" s="169">
        <f>IF(AI$44&gt;Loans!$D$97,IF(AI$44&lt;=(Loans!$E$97+Loans!$D$97),Loans!$L$99,0),0)</f>
        <v>0</v>
      </c>
      <c r="AJ62" s="169">
        <f>IF(AJ$44&gt;Loans!$D$97,IF(AJ$44&lt;=(Loans!$E$97+Loans!$D$97),Loans!$L$99,0),0)</f>
        <v>0</v>
      </c>
      <c r="AK62" s="169">
        <f>IF(AK$44&gt;Loans!$D$97,IF(AK$44&lt;=(Loans!$E$97+Loans!$D$97),Loans!$L$99,0),0)</f>
        <v>0</v>
      </c>
      <c r="AL62" s="169">
        <f>IF(AL$44&gt;Loans!$D$97,IF(AL$44&lt;=(Loans!$E$97+Loans!$D$97),Loans!$L$99,0),0)</f>
        <v>0</v>
      </c>
      <c r="AM62" s="169">
        <f>IF(AM$44&gt;Loans!$D$97,IF(AM$44&lt;=(Loans!$E$97+Loans!$D$97),Loans!$L$99,0),0)</f>
        <v>0</v>
      </c>
      <c r="AN62" s="169">
        <f>IF(AN$44&gt;Loans!$D$97,IF(AN$44&lt;=(Loans!$E$97+Loans!$D$97),Loans!$L$99,0),0)</f>
        <v>0</v>
      </c>
      <c r="AO62" s="169">
        <f>IF(AO$44&gt;Loans!$D$97,IF(AO$44&lt;=(Loans!$E$97+Loans!$D$97),Loans!$L$99,0),0)</f>
        <v>0</v>
      </c>
      <c r="AP62" s="169">
        <f>IF(AP$44&gt;Loans!$D$97,IF(AP$44&lt;=(Loans!$E$97+Loans!$D$97),Loans!$L$99,0),0)</f>
        <v>0</v>
      </c>
      <c r="AQ62" s="169">
        <f>IF(AQ$44&gt;Loans!$D$97,IF(AQ$44&lt;=(Loans!$E$97+Loans!$D$97),Loans!$L$99,0),0)</f>
        <v>0</v>
      </c>
      <c r="AR62" s="169"/>
      <c r="AS62" s="169"/>
    </row>
    <row r="63" spans="1:45" s="160" customFormat="1" ht="12.75" customHeight="1">
      <c r="A63" s="213"/>
      <c r="B63" s="561"/>
      <c r="C63" s="160" t="s">
        <v>229</v>
      </c>
      <c r="D63" s="169">
        <f>IF(D$44&gt;Loans!$D$102,IF(D$44&lt;=(Loans!$E$102+Loans!$D$102),Loans!$L$104,0),0)</f>
        <v>0</v>
      </c>
      <c r="E63" s="169">
        <f>IF(E$44&gt;Loans!$D$102,IF(E$44&lt;=(Loans!$E$102+Loans!$D$102),Loans!$L$104,0),0)</f>
        <v>0</v>
      </c>
      <c r="F63" s="169">
        <f>IF(F$44&gt;Loans!$D$102,IF(F$44&lt;=(Loans!$E$102+Loans!$D$102),Loans!$L$104,0),0)</f>
        <v>0</v>
      </c>
      <c r="G63" s="169">
        <f>IF(G$44&gt;Loans!$D$102,IF(G$44&lt;=(Loans!$E$102+Loans!$D$102),Loans!$L$104,0),0)</f>
        <v>0</v>
      </c>
      <c r="H63" s="169">
        <f>IF(H$44&gt;Loans!$D$102,IF(H$44&lt;=(Loans!$E$102+Loans!$D$102),Loans!$L$104,0),0)</f>
        <v>0</v>
      </c>
      <c r="I63" s="169">
        <f>IF(I$44&gt;Loans!$D$102,IF(I$44&lt;=(Loans!$E$102+Loans!$D$102),Loans!$L$104,0),0)</f>
        <v>0</v>
      </c>
      <c r="J63" s="169">
        <f>IF(J$44&gt;Loans!$D$102,IF(J$44&lt;=(Loans!$E$102+Loans!$D$102),Loans!$L$104,0),0)</f>
        <v>0</v>
      </c>
      <c r="K63" s="169">
        <f>IF(K$44&gt;Loans!$D$102,IF(K$44&lt;=(Loans!$E$102+Loans!$D$102),Loans!$L$104,0),0)</f>
        <v>0</v>
      </c>
      <c r="L63" s="169">
        <f>IF(L$44&gt;Loans!$D$102,IF(L$44&lt;=(Loans!$E$102+Loans!$D$102),Loans!$L$104,0),0)</f>
        <v>0</v>
      </c>
      <c r="M63" s="169">
        <f>IF(M$44&gt;Loans!$D$102,IF(M$44&lt;=(Loans!$E$102+Loans!$D$102),Loans!$L$104,0),0)</f>
        <v>0</v>
      </c>
      <c r="N63" s="169">
        <f>IF(N$44&gt;Loans!$D$102,IF(N$44&lt;=(Loans!$E$102+Loans!$D$102),Loans!$L$104,0),0)</f>
        <v>0</v>
      </c>
      <c r="O63" s="169">
        <f>IF(O$44&gt;Loans!$D$102,IF(O$44&lt;=(Loans!$E$102+Loans!$D$102),Loans!$L$104,0),0)</f>
        <v>0</v>
      </c>
      <c r="P63" s="169">
        <f>IF(P$44&gt;Loans!$D$102,IF(P$44&lt;=(Loans!$E$102+Loans!$D$102),Loans!$L$104,0),0)</f>
        <v>0</v>
      </c>
      <c r="Q63" s="169">
        <f>IF(Q$44&gt;Loans!$D$102,IF(Q$44&lt;=(Loans!$E$102+Loans!$D$102),Loans!$L$104,0),0)</f>
        <v>0</v>
      </c>
      <c r="R63" s="169">
        <f>IF(R$44&gt;Loans!$D$102,IF(R$44&lt;=(Loans!$E$102+Loans!$D$102),Loans!$L$104,0),0)</f>
        <v>0</v>
      </c>
      <c r="S63" s="169">
        <f>IF(S$44&gt;Loans!$D$102,IF(S$44&lt;=(Loans!$E$102+Loans!$D$102),Loans!$L$104,0),0)</f>
        <v>0</v>
      </c>
      <c r="T63" s="169">
        <f>IF(T$44&gt;Loans!$D$102,IF(T$44&lt;=(Loans!$E$102+Loans!$D$102),Loans!$L$104,0),0)</f>
        <v>0</v>
      </c>
      <c r="U63" s="169">
        <f>IF(U$44&gt;Loans!$D$102,IF(U$44&lt;=(Loans!$E$102+Loans!$D$102),Loans!$L$104,0),0)</f>
        <v>0</v>
      </c>
      <c r="V63" s="169">
        <f>IF(V$44&gt;Loans!$D$102,IF(V$44&lt;=(Loans!$E$102+Loans!$D$102),Loans!$L$104,0),0)</f>
        <v>0</v>
      </c>
      <c r="W63" s="169">
        <f>IF(W$44&gt;Loans!$D$102,IF(W$44&lt;=(Loans!$E$102+Loans!$D$102),Loans!$L$104,0),0)</f>
        <v>0</v>
      </c>
      <c r="X63" s="169">
        <f>IF(X$44&gt;Loans!$D$102,IF(X$44&lt;=(Loans!$E$102+Loans!$D$102),Loans!$L$104,0),0)</f>
        <v>0</v>
      </c>
      <c r="Y63" s="169">
        <f>IF(Y$44&gt;Loans!$D$102,IF(Y$44&lt;=(Loans!$E$102+Loans!$D$102),Loans!$L$104,0),0)</f>
        <v>0</v>
      </c>
      <c r="Z63" s="169">
        <f>IF(Z$44&gt;Loans!$D$102,IF(Z$44&lt;=(Loans!$E$102+Loans!$D$102),Loans!$L$104,0),0)</f>
        <v>0</v>
      </c>
      <c r="AA63" s="169">
        <f>IF(AA$44&gt;Loans!$D$102,IF(AA$44&lt;=(Loans!$E$102+Loans!$D$102),Loans!$L$104,0),0)</f>
        <v>0</v>
      </c>
      <c r="AB63" s="169">
        <f>IF(AB$44&gt;Loans!$D$102,IF(AB$44&lt;=(Loans!$E$102+Loans!$D$102),Loans!$L$104,0),0)</f>
        <v>0</v>
      </c>
      <c r="AC63" s="169">
        <f>IF(AC$44&gt;Loans!$D$102,IF(AC$44&lt;=(Loans!$E$102+Loans!$D$102),Loans!$L$104,0),0)</f>
        <v>0</v>
      </c>
      <c r="AD63" s="169">
        <f>IF(AD$44&gt;Loans!$D$102,IF(AD$44&lt;=(Loans!$E$102+Loans!$D$102),Loans!$L$104,0),0)</f>
        <v>0</v>
      </c>
      <c r="AE63" s="169">
        <f>IF(AE$44&gt;Loans!$D$102,IF(AE$44&lt;=(Loans!$E$102+Loans!$D$102),Loans!$L$104,0),0)</f>
        <v>0</v>
      </c>
      <c r="AF63" s="169">
        <f>IF(AF$44&gt;Loans!$D$102,IF(AF$44&lt;=(Loans!$E$102+Loans!$D$102),Loans!$L$104,0),0)</f>
        <v>0</v>
      </c>
      <c r="AG63" s="169">
        <f>IF(AG$44&gt;Loans!$D$102,IF(AG$44&lt;=(Loans!$E$102+Loans!$D$102),Loans!$L$104,0),0)</f>
        <v>0</v>
      </c>
      <c r="AH63" s="169">
        <f>IF(AH$44&gt;Loans!$D$102,IF(AH$44&lt;=(Loans!$E$102+Loans!$D$102),Loans!$L$104,0),0)</f>
        <v>0</v>
      </c>
      <c r="AI63" s="169">
        <f>IF(AI$44&gt;Loans!$D$102,IF(AI$44&lt;=(Loans!$E$102+Loans!$D$102),Loans!$L$104,0),0)</f>
        <v>0</v>
      </c>
      <c r="AJ63" s="169">
        <f>IF(AJ$44&gt;Loans!$D$102,IF(AJ$44&lt;=(Loans!$E$102+Loans!$D$102),Loans!$L$104,0),0)</f>
        <v>0</v>
      </c>
      <c r="AK63" s="169">
        <f>IF(AK$44&gt;Loans!$D$102,IF(AK$44&lt;=(Loans!$E$102+Loans!$D$102),Loans!$L$104,0),0)</f>
        <v>0</v>
      </c>
      <c r="AL63" s="169">
        <f>IF(AL$44&gt;Loans!$D$102,IF(AL$44&lt;=(Loans!$E$102+Loans!$D$102),Loans!$L$104,0),0)</f>
        <v>0</v>
      </c>
      <c r="AM63" s="169">
        <f>IF(AM$44&gt;Loans!$D$102,IF(AM$44&lt;=(Loans!$E$102+Loans!$D$102),Loans!$L$104,0),0)</f>
        <v>0</v>
      </c>
      <c r="AN63" s="169">
        <f>IF(AN$44&gt;Loans!$D$102,IF(AN$44&lt;=(Loans!$E$102+Loans!$D$102),Loans!$L$104,0),0)</f>
        <v>0</v>
      </c>
      <c r="AO63" s="169">
        <f>IF(AO$44&gt;Loans!$D$102,IF(AO$44&lt;=(Loans!$E$102+Loans!$D$102),Loans!$L$104,0),0)</f>
        <v>0</v>
      </c>
      <c r="AP63" s="169">
        <f>IF(AP$44&gt;Loans!$D$102,IF(AP$44&lt;=(Loans!$E$102+Loans!$D$102),Loans!$L$104,0),0)</f>
        <v>0</v>
      </c>
      <c r="AQ63" s="169">
        <f>IF(AQ$44&gt;Loans!$D$102,IF(AQ$44&lt;=(Loans!$E$102+Loans!$D$102),Loans!$L$104,0),0)</f>
        <v>0</v>
      </c>
      <c r="AR63" s="169"/>
      <c r="AS63" s="169"/>
    </row>
    <row r="64" spans="1:45" s="160" customFormat="1" ht="12.75" customHeight="1">
      <c r="A64" s="213"/>
      <c r="B64" s="561"/>
      <c r="C64" s="160" t="s">
        <v>230</v>
      </c>
      <c r="D64" s="169">
        <f>IF(D$44&gt;Loans!$D$106,IF(D$44&lt;=(Loans!$E$106+Loans!$D$106),Loans!$L$108,0),0)</f>
        <v>0</v>
      </c>
      <c r="E64" s="169">
        <f>IF(E$44&gt;Loans!$D$106,IF(E$44&lt;=(Loans!$E$106+Loans!$D$106),Loans!$L$108,0),0)</f>
        <v>0</v>
      </c>
      <c r="F64" s="169">
        <f>IF(F$44&gt;Loans!$D$106,IF(F$44&lt;=(Loans!$E$106+Loans!$D$106),Loans!$L$108,0),0)</f>
        <v>0</v>
      </c>
      <c r="G64" s="169">
        <f>IF(G$44&gt;Loans!$D$106,IF(G$44&lt;=(Loans!$E$106+Loans!$D$106),Loans!$L$108,0),0)</f>
        <v>0</v>
      </c>
      <c r="H64" s="169">
        <f>IF(H$44&gt;Loans!$D$106,IF(H$44&lt;=(Loans!$E$106+Loans!$D$106),Loans!$L$108,0),0)</f>
        <v>0</v>
      </c>
      <c r="I64" s="169">
        <f>IF(I$44&gt;Loans!$D$106,IF(I$44&lt;=(Loans!$E$106+Loans!$D$106),Loans!$L$108,0),0)</f>
        <v>0</v>
      </c>
      <c r="J64" s="169">
        <f>IF(J$44&gt;Loans!$D$106,IF(J$44&lt;=(Loans!$E$106+Loans!$D$106),Loans!$L$108,0),0)</f>
        <v>0</v>
      </c>
      <c r="K64" s="169">
        <f>IF(K$44&gt;Loans!$D$106,IF(K$44&lt;=(Loans!$E$106+Loans!$D$106),Loans!$L$108,0),0)</f>
        <v>0</v>
      </c>
      <c r="L64" s="169">
        <f>IF(L$44&gt;Loans!$D$106,IF(L$44&lt;=(Loans!$E$106+Loans!$D$106),Loans!$L$108,0),0)</f>
        <v>0</v>
      </c>
      <c r="M64" s="169">
        <f>IF(M$44&gt;Loans!$D$106,IF(M$44&lt;=(Loans!$E$106+Loans!$D$106),Loans!$L$108,0),0)</f>
        <v>0</v>
      </c>
      <c r="N64" s="169">
        <f>IF(N$44&gt;Loans!$D$106,IF(N$44&lt;=(Loans!$E$106+Loans!$D$106),Loans!$L$108,0),0)</f>
        <v>0</v>
      </c>
      <c r="O64" s="169">
        <f>IF(O$44&gt;Loans!$D$106,IF(O$44&lt;=(Loans!$E$106+Loans!$D$106),Loans!$L$108,0),0)</f>
        <v>0</v>
      </c>
      <c r="P64" s="169">
        <f>IF(P$44&gt;Loans!$D$106,IF(P$44&lt;=(Loans!$E$106+Loans!$D$106),Loans!$L$108,0),0)</f>
        <v>0</v>
      </c>
      <c r="Q64" s="169">
        <f>IF(Q$44&gt;Loans!$D$106,IF(Q$44&lt;=(Loans!$E$106+Loans!$D$106),Loans!$L$108,0),0)</f>
        <v>0</v>
      </c>
      <c r="R64" s="169">
        <f>IF(R$44&gt;Loans!$D$106,IF(R$44&lt;=(Loans!$E$106+Loans!$D$106),Loans!$L$108,0),0)</f>
        <v>0</v>
      </c>
      <c r="S64" s="169">
        <f>IF(S$44&gt;Loans!$D$106,IF(S$44&lt;=(Loans!$E$106+Loans!$D$106),Loans!$L$108,0),0)</f>
        <v>0</v>
      </c>
      <c r="T64" s="169">
        <f>IF(T$44&gt;Loans!$D$106,IF(T$44&lt;=(Loans!$E$106+Loans!$D$106),Loans!$L$108,0),0)</f>
        <v>0</v>
      </c>
      <c r="U64" s="169">
        <f>IF(U$44&gt;Loans!$D$106,IF(U$44&lt;=(Loans!$E$106+Loans!$D$106),Loans!$L$108,0),0)</f>
        <v>0</v>
      </c>
      <c r="V64" s="169">
        <f>IF(V$44&gt;Loans!$D$106,IF(V$44&lt;=(Loans!$E$106+Loans!$D$106),Loans!$L$108,0),0)</f>
        <v>0</v>
      </c>
      <c r="W64" s="169">
        <f>IF(W$44&gt;Loans!$D$106,IF(W$44&lt;=(Loans!$E$106+Loans!$D$106),Loans!$L$108,0),0)</f>
        <v>0</v>
      </c>
      <c r="X64" s="169">
        <f>IF(X$44&gt;Loans!$D$106,IF(X$44&lt;=(Loans!$E$106+Loans!$D$106),Loans!$L$108,0),0)</f>
        <v>0</v>
      </c>
      <c r="Y64" s="169">
        <f>IF(Y$44&gt;Loans!$D$106,IF(Y$44&lt;=(Loans!$E$106+Loans!$D$106),Loans!$L$108,0),0)</f>
        <v>0</v>
      </c>
      <c r="Z64" s="169">
        <f>IF(Z$44&gt;Loans!$D$106,IF(Z$44&lt;=(Loans!$E$106+Loans!$D$106),Loans!$L$108,0),0)</f>
        <v>0</v>
      </c>
      <c r="AA64" s="169">
        <f>IF(AA$44&gt;Loans!$D$106,IF(AA$44&lt;=(Loans!$E$106+Loans!$D$106),Loans!$L$108,0),0)</f>
        <v>0</v>
      </c>
      <c r="AB64" s="169">
        <f>IF(AB$44&gt;Loans!$D$106,IF(AB$44&lt;=(Loans!$E$106+Loans!$D$106),Loans!$L$108,0),0)</f>
        <v>0</v>
      </c>
      <c r="AC64" s="169">
        <f>IF(AC$44&gt;Loans!$D$106,IF(AC$44&lt;=(Loans!$E$106+Loans!$D$106),Loans!$L$108,0),0)</f>
        <v>0</v>
      </c>
      <c r="AD64" s="169">
        <f>IF(AD$44&gt;Loans!$D$106,IF(AD$44&lt;=(Loans!$E$106+Loans!$D$106),Loans!$L$108,0),0)</f>
        <v>0</v>
      </c>
      <c r="AE64" s="169">
        <f>IF(AE$44&gt;Loans!$D$106,IF(AE$44&lt;=(Loans!$E$106+Loans!$D$106),Loans!$L$108,0),0)</f>
        <v>0</v>
      </c>
      <c r="AF64" s="169">
        <f>IF(AF$44&gt;Loans!$D$106,IF(AF$44&lt;=(Loans!$E$106+Loans!$D$106),Loans!$L$108,0),0)</f>
        <v>0</v>
      </c>
      <c r="AG64" s="169">
        <f>IF(AG$44&gt;Loans!$D$106,IF(AG$44&lt;=(Loans!$E$106+Loans!$D$106),Loans!$L$108,0),0)</f>
        <v>0</v>
      </c>
      <c r="AH64" s="169">
        <f>IF(AH$44&gt;Loans!$D$106,IF(AH$44&lt;=(Loans!$E$106+Loans!$D$106),Loans!$L$108,0),0)</f>
        <v>0</v>
      </c>
      <c r="AI64" s="169">
        <f>IF(AI$44&gt;Loans!$D$106,IF(AI$44&lt;=(Loans!$E$106+Loans!$D$106),Loans!$L$108,0),0)</f>
        <v>0</v>
      </c>
      <c r="AJ64" s="169">
        <f>IF(AJ$44&gt;Loans!$D$106,IF(AJ$44&lt;=(Loans!$E$106+Loans!$D$106),Loans!$L$108,0),0)</f>
        <v>0</v>
      </c>
      <c r="AK64" s="169">
        <f>IF(AK$44&gt;Loans!$D$106,IF(AK$44&lt;=(Loans!$E$106+Loans!$D$106),Loans!$L$108,0),0)</f>
        <v>0</v>
      </c>
      <c r="AL64" s="169">
        <f>IF(AL$44&gt;Loans!$D$106,IF(AL$44&lt;=(Loans!$E$106+Loans!$D$106),Loans!$L$108,0),0)</f>
        <v>0</v>
      </c>
      <c r="AM64" s="169">
        <f>IF(AM$44&gt;Loans!$D$106,IF(AM$44&lt;=(Loans!$E$106+Loans!$D$106),Loans!$L$108,0),0)</f>
        <v>0</v>
      </c>
      <c r="AN64" s="169">
        <f>IF(AN$44&gt;Loans!$D$106,IF(AN$44&lt;=(Loans!$E$106+Loans!$D$106),Loans!$L$108,0),0)</f>
        <v>0</v>
      </c>
      <c r="AO64" s="169">
        <f>IF(AO$44&gt;Loans!$D$106,IF(AO$44&lt;=(Loans!$E$106+Loans!$D$106),Loans!$L$108,0),0)</f>
        <v>0</v>
      </c>
      <c r="AP64" s="169">
        <f>IF(AP$44&gt;Loans!$D$106,IF(AP$44&lt;=(Loans!$E$106+Loans!$D$106),Loans!$L$108,0),0)</f>
        <v>0</v>
      </c>
      <c r="AQ64" s="169">
        <f>IF(AQ$44&gt;Loans!$D$106,IF(AQ$44&lt;=(Loans!$E$106+Loans!$D$106),Loans!$L$108,0),0)</f>
        <v>0</v>
      </c>
      <c r="AR64" s="169"/>
      <c r="AS64" s="169"/>
    </row>
    <row r="65" spans="1:45" s="160" customFormat="1" ht="12.75" customHeight="1">
      <c r="A65" s="213"/>
      <c r="B65" s="561"/>
      <c r="C65" s="160" t="s">
        <v>231</v>
      </c>
      <c r="D65" s="169">
        <f>IF(D$44&gt;Loans!$D$110,IF(D$44&lt;=(Loans!$E$110+Loans!$D$110),Loans!$L$112,0),0)</f>
        <v>0</v>
      </c>
      <c r="E65" s="169">
        <f>IF(E$44&gt;Loans!$D$110,IF(E$44&lt;=(Loans!$E$110+Loans!$D$110),Loans!$L$112,0),0)</f>
        <v>0</v>
      </c>
      <c r="F65" s="169">
        <f>IF(F$44&gt;Loans!$D$110,IF(F$44&lt;=(Loans!$E$110+Loans!$D$110),Loans!$L$112,0),0)</f>
        <v>0</v>
      </c>
      <c r="G65" s="169">
        <f>IF(G$44&gt;Loans!$D$110,IF(G$44&lt;=(Loans!$E$110+Loans!$D$110),Loans!$L$112,0),0)</f>
        <v>0</v>
      </c>
      <c r="H65" s="169">
        <f>IF(H$44&gt;Loans!$D$110,IF(H$44&lt;=(Loans!$E$110+Loans!$D$110),Loans!$L$112,0),0)</f>
        <v>0</v>
      </c>
      <c r="I65" s="169">
        <f>IF(I$44&gt;Loans!$D$110,IF(I$44&lt;=(Loans!$E$110+Loans!$D$110),Loans!$L$112,0),0)</f>
        <v>0</v>
      </c>
      <c r="J65" s="169">
        <f>IF(J$44&gt;Loans!$D$110,IF(J$44&lt;=(Loans!$E$110+Loans!$D$110),Loans!$L$112,0),0)</f>
        <v>0</v>
      </c>
      <c r="K65" s="169">
        <f>IF(K$44&gt;Loans!$D$110,IF(K$44&lt;=(Loans!$E$110+Loans!$D$110),Loans!$L$112,0),0)</f>
        <v>0</v>
      </c>
      <c r="L65" s="169">
        <f>IF(L$44&gt;Loans!$D$110,IF(L$44&lt;=(Loans!$E$110+Loans!$D$110),Loans!$L$112,0),0)</f>
        <v>0</v>
      </c>
      <c r="M65" s="169">
        <f>IF(M$44&gt;Loans!$D$110,IF(M$44&lt;=(Loans!$E$110+Loans!$D$110),Loans!$L$112,0),0)</f>
        <v>0</v>
      </c>
      <c r="N65" s="169">
        <f>IF(N$44&gt;Loans!$D$110,IF(N$44&lt;=(Loans!$E$110+Loans!$D$110),Loans!$L$112,0),0)</f>
        <v>0</v>
      </c>
      <c r="O65" s="169">
        <f>IF(O$44&gt;Loans!$D$110,IF(O$44&lt;=(Loans!$E$110+Loans!$D$110),Loans!$L$112,0),0)</f>
        <v>0</v>
      </c>
      <c r="P65" s="169">
        <f>IF(P$44&gt;Loans!$D$110,IF(P$44&lt;=(Loans!$E$110+Loans!$D$110),Loans!$L$112,0),0)</f>
        <v>0</v>
      </c>
      <c r="Q65" s="169">
        <f>IF(Q$44&gt;Loans!$D$110,IF(Q$44&lt;=(Loans!$E$110+Loans!$D$110),Loans!$L$112,0),0)</f>
        <v>0</v>
      </c>
      <c r="R65" s="169">
        <f>IF(R$44&gt;Loans!$D$110,IF(R$44&lt;=(Loans!$E$110+Loans!$D$110),Loans!$L$112,0),0)</f>
        <v>0</v>
      </c>
      <c r="S65" s="169">
        <f>IF(S$44&gt;Loans!$D$110,IF(S$44&lt;=(Loans!$E$110+Loans!$D$110),Loans!$L$112,0),0)</f>
        <v>0</v>
      </c>
      <c r="T65" s="169">
        <f>IF(T$44&gt;Loans!$D$110,IF(T$44&lt;=(Loans!$E$110+Loans!$D$110),Loans!$L$112,0),0)</f>
        <v>0</v>
      </c>
      <c r="U65" s="169">
        <f>IF(U$44&gt;Loans!$D$110,IF(U$44&lt;=(Loans!$E$110+Loans!$D$110),Loans!$L$112,0),0)</f>
        <v>0</v>
      </c>
      <c r="V65" s="169">
        <f>IF(V$44&gt;Loans!$D$110,IF(V$44&lt;=(Loans!$E$110+Loans!$D$110),Loans!$L$112,0),0)</f>
        <v>0</v>
      </c>
      <c r="W65" s="169">
        <f>IF(W$44&gt;Loans!$D$110,IF(W$44&lt;=(Loans!$E$110+Loans!$D$110),Loans!$L$112,0),0)</f>
        <v>0</v>
      </c>
      <c r="X65" s="169">
        <f>IF(X$44&gt;Loans!$D$110,IF(X$44&lt;=(Loans!$E$110+Loans!$D$110),Loans!$L$112,0),0)</f>
        <v>0</v>
      </c>
      <c r="Y65" s="169">
        <f>IF(Y$44&gt;Loans!$D$110,IF(Y$44&lt;=(Loans!$E$110+Loans!$D$110),Loans!$L$112,0),0)</f>
        <v>0</v>
      </c>
      <c r="Z65" s="169">
        <f>IF(Z$44&gt;Loans!$D$110,IF(Z$44&lt;=(Loans!$E$110+Loans!$D$110),Loans!$L$112,0),0)</f>
        <v>0</v>
      </c>
      <c r="AA65" s="169">
        <f>IF(AA$44&gt;Loans!$D$110,IF(AA$44&lt;=(Loans!$E$110+Loans!$D$110),Loans!$L$112,0),0)</f>
        <v>0</v>
      </c>
      <c r="AB65" s="169">
        <f>IF(AB$44&gt;Loans!$D$110,IF(AB$44&lt;=(Loans!$E$110+Loans!$D$110),Loans!$L$112,0),0)</f>
        <v>0</v>
      </c>
      <c r="AC65" s="169">
        <f>IF(AC$44&gt;Loans!$D$110,IF(AC$44&lt;=(Loans!$E$110+Loans!$D$110),Loans!$L$112,0),0)</f>
        <v>0</v>
      </c>
      <c r="AD65" s="169">
        <f>IF(AD$44&gt;Loans!$D$110,IF(AD$44&lt;=(Loans!$E$110+Loans!$D$110),Loans!$L$112,0),0)</f>
        <v>0</v>
      </c>
      <c r="AE65" s="169">
        <f>IF(AE$44&gt;Loans!$D$110,IF(AE$44&lt;=(Loans!$E$110+Loans!$D$110),Loans!$L$112,0),0)</f>
        <v>0</v>
      </c>
      <c r="AF65" s="169">
        <f>IF(AF$44&gt;Loans!$D$110,IF(AF$44&lt;=(Loans!$E$110+Loans!$D$110),Loans!$L$112,0),0)</f>
        <v>0</v>
      </c>
      <c r="AG65" s="169">
        <f>IF(AG$44&gt;Loans!$D$110,IF(AG$44&lt;=(Loans!$E$110+Loans!$D$110),Loans!$L$112,0),0)</f>
        <v>0</v>
      </c>
      <c r="AH65" s="169">
        <f>IF(AH$44&gt;Loans!$D$110,IF(AH$44&lt;=(Loans!$E$110+Loans!$D$110),Loans!$L$112,0),0)</f>
        <v>0</v>
      </c>
      <c r="AI65" s="169">
        <f>IF(AI$44&gt;Loans!$D$110,IF(AI$44&lt;=(Loans!$E$110+Loans!$D$110),Loans!$L$112,0),0)</f>
        <v>0</v>
      </c>
      <c r="AJ65" s="169">
        <f>IF(AJ$44&gt;Loans!$D$110,IF(AJ$44&lt;=(Loans!$E$110+Loans!$D$110),Loans!$L$112,0),0)</f>
        <v>0</v>
      </c>
      <c r="AK65" s="169">
        <f>IF(AK$44&gt;Loans!$D$110,IF(AK$44&lt;=(Loans!$E$110+Loans!$D$110),Loans!$L$112,0),0)</f>
        <v>0</v>
      </c>
      <c r="AL65" s="169">
        <f>IF(AL$44&gt;Loans!$D$110,IF(AL$44&lt;=(Loans!$E$110+Loans!$D$110),Loans!$L$112,0),0)</f>
        <v>0</v>
      </c>
      <c r="AM65" s="169">
        <f>IF(AM$44&gt;Loans!$D$110,IF(AM$44&lt;=(Loans!$E$110+Loans!$D$110),Loans!$L$112,0),0)</f>
        <v>0</v>
      </c>
      <c r="AN65" s="169">
        <f>IF(AN$44&gt;Loans!$D$110,IF(AN$44&lt;=(Loans!$E$110+Loans!$D$110),Loans!$L$112,0),0)</f>
        <v>0</v>
      </c>
      <c r="AO65" s="169">
        <f>IF(AO$44&gt;Loans!$D$110,IF(AO$44&lt;=(Loans!$E$110+Loans!$D$110),Loans!$L$112,0),0)</f>
        <v>0</v>
      </c>
      <c r="AP65" s="169">
        <f>IF(AP$44&gt;Loans!$D$110,IF(AP$44&lt;=(Loans!$E$110+Loans!$D$110),Loans!$L$112,0),0)</f>
        <v>0</v>
      </c>
      <c r="AQ65" s="169">
        <f>IF(AQ$44&gt;Loans!$D$110,IF(AQ$44&lt;=(Loans!$E$110+Loans!$D$110),Loans!$L$112,0),0)</f>
        <v>0</v>
      </c>
      <c r="AR65" s="169"/>
      <c r="AS65" s="169"/>
    </row>
    <row r="66" spans="1:45" s="160" customFormat="1" ht="12.75" customHeight="1">
      <c r="A66" s="213"/>
      <c r="B66" s="561"/>
      <c r="C66" s="160" t="s">
        <v>232</v>
      </c>
      <c r="D66" s="169">
        <f>IF(D$44&gt;Loans!$D$114,IF(D$44&lt;=(Loans!$E$114+Loans!$D$114),Loans!$L$116,0),0)</f>
        <v>0</v>
      </c>
      <c r="E66" s="169">
        <f>IF(E$44&gt;Loans!$D$114,IF(E$44&lt;=(Loans!$E$114+Loans!$D$114),Loans!$L$116,0),0)</f>
        <v>0</v>
      </c>
      <c r="F66" s="169">
        <f>IF(F$44&gt;Loans!$D$114,IF(F$44&lt;=(Loans!$E$114+Loans!$D$114),Loans!$L$116,0),0)</f>
        <v>0</v>
      </c>
      <c r="G66" s="169">
        <f>IF(G$44&gt;Loans!$D$114,IF(G$44&lt;=(Loans!$E$114+Loans!$D$114),Loans!$L$116,0),0)</f>
        <v>0</v>
      </c>
      <c r="H66" s="169">
        <f>IF(H$44&gt;Loans!$D$114,IF(H$44&lt;=(Loans!$E$114+Loans!$D$114),Loans!$L$116,0),0)</f>
        <v>0</v>
      </c>
      <c r="I66" s="169">
        <f>IF(I$44&gt;Loans!$D$114,IF(I$44&lt;=(Loans!$E$114+Loans!$D$114),Loans!$L$116,0),0)</f>
        <v>0</v>
      </c>
      <c r="J66" s="169">
        <f>IF(J$44&gt;Loans!$D$114,IF(J$44&lt;=(Loans!$E$114+Loans!$D$114),Loans!$L$116,0),0)</f>
        <v>0</v>
      </c>
      <c r="K66" s="169">
        <f>IF(K$44&gt;Loans!$D$114,IF(K$44&lt;=(Loans!$E$114+Loans!$D$114),Loans!$L$116,0),0)</f>
        <v>0</v>
      </c>
      <c r="L66" s="169">
        <f>IF(L$44&gt;Loans!$D$114,IF(L$44&lt;=(Loans!$E$114+Loans!$D$114),Loans!$L$116,0),0)</f>
        <v>0</v>
      </c>
      <c r="M66" s="169">
        <f>IF(M$44&gt;Loans!$D$114,IF(M$44&lt;=(Loans!$E$114+Loans!$D$114),Loans!$L$116,0),0)</f>
        <v>0</v>
      </c>
      <c r="N66" s="169">
        <f>IF(N$44&gt;Loans!$D$114,IF(N$44&lt;=(Loans!$E$114+Loans!$D$114),Loans!$L$116,0),0)</f>
        <v>0</v>
      </c>
      <c r="O66" s="169">
        <f>IF(O$44&gt;Loans!$D$114,IF(O$44&lt;=(Loans!$E$114+Loans!$D$114),Loans!$L$116,0),0)</f>
        <v>0</v>
      </c>
      <c r="P66" s="169">
        <f>IF(P$44&gt;Loans!$D$114,IF(P$44&lt;=(Loans!$E$114+Loans!$D$114),Loans!$L$116,0),0)</f>
        <v>0</v>
      </c>
      <c r="Q66" s="169">
        <f>IF(Q$44&gt;Loans!$D$114,IF(Q$44&lt;=(Loans!$E$114+Loans!$D$114),Loans!$L$116,0),0)</f>
        <v>0</v>
      </c>
      <c r="R66" s="169">
        <f>IF(R$44&gt;Loans!$D$114,IF(R$44&lt;=(Loans!$E$114+Loans!$D$114),Loans!$L$116,0),0)</f>
        <v>0</v>
      </c>
      <c r="S66" s="169">
        <f>IF(S$44&gt;Loans!$D$114,IF(S$44&lt;=(Loans!$E$114+Loans!$D$114),Loans!$L$116,0),0)</f>
        <v>0</v>
      </c>
      <c r="T66" s="169">
        <f>IF(T$44&gt;Loans!$D$114,IF(T$44&lt;=(Loans!$E$114+Loans!$D$114),Loans!$L$116,0),0)</f>
        <v>0</v>
      </c>
      <c r="U66" s="169">
        <f>IF(U$44&gt;Loans!$D$114,IF(U$44&lt;=(Loans!$E$114+Loans!$D$114),Loans!$L$116,0),0)</f>
        <v>0</v>
      </c>
      <c r="V66" s="169">
        <f>IF(V$44&gt;Loans!$D$114,IF(V$44&lt;=(Loans!$E$114+Loans!$D$114),Loans!$L$116,0),0)</f>
        <v>0</v>
      </c>
      <c r="W66" s="169">
        <f>IF(W$44&gt;Loans!$D$114,IF(W$44&lt;=(Loans!$E$114+Loans!$D$114),Loans!$L$116,0),0)</f>
        <v>0</v>
      </c>
      <c r="X66" s="169">
        <f>IF(X$44&gt;Loans!$D$114,IF(X$44&lt;=(Loans!$E$114+Loans!$D$114),Loans!$L$116,0),0)</f>
        <v>0</v>
      </c>
      <c r="Y66" s="169">
        <f>IF(Y$44&gt;Loans!$D$114,IF(Y$44&lt;=(Loans!$E$114+Loans!$D$114),Loans!$L$116,0),0)</f>
        <v>0</v>
      </c>
      <c r="Z66" s="169">
        <f>IF(Z$44&gt;Loans!$D$114,IF(Z$44&lt;=(Loans!$E$114+Loans!$D$114),Loans!$L$116,0),0)</f>
        <v>0</v>
      </c>
      <c r="AA66" s="169">
        <f>IF(AA$44&gt;Loans!$D$114,IF(AA$44&lt;=(Loans!$E$114+Loans!$D$114),Loans!$L$116,0),0)</f>
        <v>0</v>
      </c>
      <c r="AB66" s="169">
        <f>IF(AB$44&gt;Loans!$D$114,IF(AB$44&lt;=(Loans!$E$114+Loans!$D$114),Loans!$L$116,0),0)</f>
        <v>0</v>
      </c>
      <c r="AC66" s="169">
        <f>IF(AC$44&gt;Loans!$D$114,IF(AC$44&lt;=(Loans!$E$114+Loans!$D$114),Loans!$L$116,0),0)</f>
        <v>0</v>
      </c>
      <c r="AD66" s="169">
        <f>IF(AD$44&gt;Loans!$D$114,IF(AD$44&lt;=(Loans!$E$114+Loans!$D$114),Loans!$L$116,0),0)</f>
        <v>0</v>
      </c>
      <c r="AE66" s="169">
        <f>IF(AE$44&gt;Loans!$D$114,IF(AE$44&lt;=(Loans!$E$114+Loans!$D$114),Loans!$L$116,0),0)</f>
        <v>0</v>
      </c>
      <c r="AF66" s="169">
        <f>IF(AF$44&gt;Loans!$D$114,IF(AF$44&lt;=(Loans!$E$114+Loans!$D$114),Loans!$L$116,0),0)</f>
        <v>0</v>
      </c>
      <c r="AG66" s="169">
        <f>IF(AG$44&gt;Loans!$D$114,IF(AG$44&lt;=(Loans!$E$114+Loans!$D$114),Loans!$L$116,0),0)</f>
        <v>0</v>
      </c>
      <c r="AH66" s="169">
        <f>IF(AH$44&gt;Loans!$D$114,IF(AH$44&lt;=(Loans!$E$114+Loans!$D$114),Loans!$L$116,0),0)</f>
        <v>0</v>
      </c>
      <c r="AI66" s="169">
        <f>IF(AI$44&gt;Loans!$D$114,IF(AI$44&lt;=(Loans!$E$114+Loans!$D$114),Loans!$L$116,0),0)</f>
        <v>0</v>
      </c>
      <c r="AJ66" s="169">
        <f>IF(AJ$44&gt;Loans!$D$114,IF(AJ$44&lt;=(Loans!$E$114+Loans!$D$114),Loans!$L$116,0),0)</f>
        <v>0</v>
      </c>
      <c r="AK66" s="169">
        <f>IF(AK$44&gt;Loans!$D$114,IF(AK$44&lt;=(Loans!$E$114+Loans!$D$114),Loans!$L$116,0),0)</f>
        <v>0</v>
      </c>
      <c r="AL66" s="169">
        <f>IF(AL$44&gt;Loans!$D$114,IF(AL$44&lt;=(Loans!$E$114+Loans!$D$114),Loans!$L$116,0),0)</f>
        <v>0</v>
      </c>
      <c r="AM66" s="169">
        <f>IF(AM$44&gt;Loans!$D$114,IF(AM$44&lt;=(Loans!$E$114+Loans!$D$114),Loans!$L$116,0),0)</f>
        <v>0</v>
      </c>
      <c r="AN66" s="169">
        <f>IF(AN$44&gt;Loans!$D$114,IF(AN$44&lt;=(Loans!$E$114+Loans!$D$114),Loans!$L$116,0),0)</f>
        <v>0</v>
      </c>
      <c r="AO66" s="169">
        <f>IF(AO$44&gt;Loans!$D$114,IF(AO$44&lt;=(Loans!$E$114+Loans!$D$114),Loans!$L$116,0),0)</f>
        <v>0</v>
      </c>
      <c r="AP66" s="169">
        <f>IF(AP$44&gt;Loans!$D$114,IF(AP$44&lt;=(Loans!$E$114+Loans!$D$114),Loans!$L$116,0),0)</f>
        <v>0</v>
      </c>
      <c r="AQ66" s="169">
        <f>IF(AQ$44&gt;Loans!$D$114,IF(AQ$44&lt;=(Loans!$E$114+Loans!$D$114),Loans!$L$116,0),0)</f>
        <v>0</v>
      </c>
      <c r="AR66" s="169"/>
      <c r="AS66" s="169"/>
    </row>
    <row r="67" spans="1:45" s="160" customFormat="1" ht="12.75" customHeight="1">
      <c r="A67" s="213"/>
      <c r="B67" s="561"/>
      <c r="C67" s="160" t="s">
        <v>233</v>
      </c>
      <c r="D67" s="169">
        <f>IF(D$44&gt;Loans!$D$118,IF(D$44&lt;=(Loans!$E$118+Loans!$D$118),Loans!$L$120,0),0)</f>
        <v>0</v>
      </c>
      <c r="E67" s="169">
        <f>IF(E$44&gt;Loans!$D$118,IF(E$44&lt;=(Loans!$E$118+Loans!$D$118),Loans!$L$120,0),0)</f>
        <v>0</v>
      </c>
      <c r="F67" s="169">
        <f>IF(F$44&gt;Loans!$D$118,IF(F$44&lt;=(Loans!$E$118+Loans!$D$118),Loans!$L$120,0),0)</f>
        <v>0</v>
      </c>
      <c r="G67" s="169">
        <f>IF(G$44&gt;Loans!$D$118,IF(G$44&lt;=(Loans!$E$118+Loans!$D$118),Loans!$L$120,0),0)</f>
        <v>0</v>
      </c>
      <c r="H67" s="169">
        <f>IF(H$44&gt;Loans!$D$118,IF(H$44&lt;=(Loans!$E$118+Loans!$D$118),Loans!$L$120,0),0)</f>
        <v>0</v>
      </c>
      <c r="I67" s="169">
        <f>IF(I$44&gt;Loans!$D$118,IF(I$44&lt;=(Loans!$E$118+Loans!$D$118),Loans!$L$120,0),0)</f>
        <v>0</v>
      </c>
      <c r="J67" s="169">
        <f>IF(J$44&gt;Loans!$D$118,IF(J$44&lt;=(Loans!$E$118+Loans!$D$118),Loans!$L$120,0),0)</f>
        <v>0</v>
      </c>
      <c r="K67" s="169">
        <f>IF(K$44&gt;Loans!$D$118,IF(K$44&lt;=(Loans!$E$118+Loans!$D$118),Loans!$L$120,0),0)</f>
        <v>0</v>
      </c>
      <c r="L67" s="169">
        <f>IF(L$44&gt;Loans!$D$118,IF(L$44&lt;=(Loans!$E$118+Loans!$D$118),Loans!$L$120,0),0)</f>
        <v>0</v>
      </c>
      <c r="M67" s="169">
        <f>IF(M$44&gt;Loans!$D$118,IF(M$44&lt;=(Loans!$E$118+Loans!$D$118),Loans!$L$120,0),0)</f>
        <v>0</v>
      </c>
      <c r="N67" s="169">
        <f>IF(N$44&gt;Loans!$D$118,IF(N$44&lt;=(Loans!$E$118+Loans!$D$118),Loans!$L$120,0),0)</f>
        <v>0</v>
      </c>
      <c r="O67" s="169">
        <f>IF(O$44&gt;Loans!$D$118,IF(O$44&lt;=(Loans!$E$118+Loans!$D$118),Loans!$L$120,0),0)</f>
        <v>0</v>
      </c>
      <c r="P67" s="169">
        <f>IF(P$44&gt;Loans!$D$118,IF(P$44&lt;=(Loans!$E$118+Loans!$D$118),Loans!$L$120,0),0)</f>
        <v>0</v>
      </c>
      <c r="Q67" s="169">
        <f>IF(Q$44&gt;Loans!$D$118,IF(Q$44&lt;=(Loans!$E$118+Loans!$D$118),Loans!$L$120,0),0)</f>
        <v>0</v>
      </c>
      <c r="R67" s="169">
        <f>IF(R$44&gt;Loans!$D$118,IF(R$44&lt;=(Loans!$E$118+Loans!$D$118),Loans!$L$120,0),0)</f>
        <v>0</v>
      </c>
      <c r="S67" s="169">
        <f>IF(S$44&gt;Loans!$D$118,IF(S$44&lt;=(Loans!$E$118+Loans!$D$118),Loans!$L$120,0),0)</f>
        <v>0</v>
      </c>
      <c r="T67" s="169">
        <f>IF(T$44&gt;Loans!$D$118,IF(T$44&lt;=(Loans!$E$118+Loans!$D$118),Loans!$L$120,0),0)</f>
        <v>0</v>
      </c>
      <c r="U67" s="169">
        <f>IF(U$44&gt;Loans!$D$118,IF(U$44&lt;=(Loans!$E$118+Loans!$D$118),Loans!$L$120,0),0)</f>
        <v>0</v>
      </c>
      <c r="V67" s="169">
        <f>IF(V$44&gt;Loans!$D$118,IF(V$44&lt;=(Loans!$E$118+Loans!$D$118),Loans!$L$120,0),0)</f>
        <v>0</v>
      </c>
      <c r="W67" s="169">
        <f>IF(W$44&gt;Loans!$D$118,IF(W$44&lt;=(Loans!$E$118+Loans!$D$118),Loans!$L$120,0),0)</f>
        <v>0</v>
      </c>
      <c r="X67" s="169">
        <f>IF(X$44&gt;Loans!$D$118,IF(X$44&lt;=(Loans!$E$118+Loans!$D$118),Loans!$L$120,0),0)</f>
        <v>0</v>
      </c>
      <c r="Y67" s="169">
        <f>IF(Y$44&gt;Loans!$D$118,IF(Y$44&lt;=(Loans!$E$118+Loans!$D$118),Loans!$L$120,0),0)</f>
        <v>0</v>
      </c>
      <c r="Z67" s="169">
        <f>IF(Z$44&gt;Loans!$D$118,IF(Z$44&lt;=(Loans!$E$118+Loans!$D$118),Loans!$L$120,0),0)</f>
        <v>0</v>
      </c>
      <c r="AA67" s="169">
        <f>IF(AA$44&gt;Loans!$D$118,IF(AA$44&lt;=(Loans!$E$118+Loans!$D$118),Loans!$L$120,0),0)</f>
        <v>0</v>
      </c>
      <c r="AB67" s="169">
        <f>IF(AB$44&gt;Loans!$D$118,IF(AB$44&lt;=(Loans!$E$118+Loans!$D$118),Loans!$L$120,0),0)</f>
        <v>0</v>
      </c>
      <c r="AC67" s="169">
        <f>IF(AC$44&gt;Loans!$D$118,IF(AC$44&lt;=(Loans!$E$118+Loans!$D$118),Loans!$L$120,0),0)</f>
        <v>0</v>
      </c>
      <c r="AD67" s="169">
        <f>IF(AD$44&gt;Loans!$D$118,IF(AD$44&lt;=(Loans!$E$118+Loans!$D$118),Loans!$L$120,0),0)</f>
        <v>0</v>
      </c>
      <c r="AE67" s="169">
        <f>IF(AE$44&gt;Loans!$D$118,IF(AE$44&lt;=(Loans!$E$118+Loans!$D$118),Loans!$L$120,0),0)</f>
        <v>0</v>
      </c>
      <c r="AF67" s="169">
        <f>IF(AF$44&gt;Loans!$D$118,IF(AF$44&lt;=(Loans!$E$118+Loans!$D$118),Loans!$L$120,0),0)</f>
        <v>0</v>
      </c>
      <c r="AG67" s="169">
        <f>IF(AG$44&gt;Loans!$D$118,IF(AG$44&lt;=(Loans!$E$118+Loans!$D$118),Loans!$L$120,0),0)</f>
        <v>0</v>
      </c>
      <c r="AH67" s="169">
        <f>IF(AH$44&gt;Loans!$D$118,IF(AH$44&lt;=(Loans!$E$118+Loans!$D$118),Loans!$L$120,0),0)</f>
        <v>0</v>
      </c>
      <c r="AI67" s="169">
        <f>IF(AI$44&gt;Loans!$D$118,IF(AI$44&lt;=(Loans!$E$118+Loans!$D$118),Loans!$L$120,0),0)</f>
        <v>0</v>
      </c>
      <c r="AJ67" s="169">
        <f>IF(AJ$44&gt;Loans!$D$118,IF(AJ$44&lt;=(Loans!$E$118+Loans!$D$118),Loans!$L$120,0),0)</f>
        <v>0</v>
      </c>
      <c r="AK67" s="169">
        <f>IF(AK$44&gt;Loans!$D$118,IF(AK$44&lt;=(Loans!$E$118+Loans!$D$118),Loans!$L$120,0),0)</f>
        <v>0</v>
      </c>
      <c r="AL67" s="169">
        <f>IF(AL$44&gt;Loans!$D$118,IF(AL$44&lt;=(Loans!$E$118+Loans!$D$118),Loans!$L$120,0),0)</f>
        <v>0</v>
      </c>
      <c r="AM67" s="169">
        <f>IF(AM$44&gt;Loans!$D$118,IF(AM$44&lt;=(Loans!$E$118+Loans!$D$118),Loans!$L$120,0),0)</f>
        <v>0</v>
      </c>
      <c r="AN67" s="169">
        <f>IF(AN$44&gt;Loans!$D$118,IF(AN$44&lt;=(Loans!$E$118+Loans!$D$118),Loans!$L$120,0),0)</f>
        <v>0</v>
      </c>
      <c r="AO67" s="169">
        <f>IF(AO$44&gt;Loans!$D$118,IF(AO$44&lt;=(Loans!$E$118+Loans!$D$118),Loans!$L$120,0),0)</f>
        <v>0</v>
      </c>
      <c r="AP67" s="169">
        <f>IF(AP$44&gt;Loans!$D$118,IF(AP$44&lt;=(Loans!$E$118+Loans!$D$118),Loans!$L$120,0),0)</f>
        <v>0</v>
      </c>
      <c r="AQ67" s="169">
        <f>IF(AQ$44&gt;Loans!$D$118,IF(AQ$44&lt;=(Loans!$E$118+Loans!$D$118),Loans!$L$120,0),0)</f>
        <v>0</v>
      </c>
      <c r="AR67" s="169"/>
      <c r="AS67" s="169"/>
    </row>
    <row r="68" spans="1:45" s="160" customFormat="1" ht="12.75" customHeight="1">
      <c r="A68" s="213"/>
      <c r="B68" s="255"/>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row>
    <row r="69" spans="1:45" s="160" customFormat="1" ht="12.75" customHeight="1">
      <c r="A69" s="213"/>
      <c r="B69" s="256"/>
      <c r="C69" s="160" t="s">
        <v>234</v>
      </c>
      <c r="D69" s="169">
        <f>Loans!S86</f>
        <v>0</v>
      </c>
      <c r="E69" s="169">
        <f>Loans!T86</f>
        <v>0</v>
      </c>
      <c r="F69" s="169">
        <f>Loans!U86</f>
        <v>0</v>
      </c>
      <c r="G69" s="169">
        <f>Loans!V86</f>
        <v>0</v>
      </c>
      <c r="H69" s="169">
        <f>Loans!W86</f>
        <v>0</v>
      </c>
      <c r="I69" s="169">
        <f>Loans!X86</f>
        <v>0</v>
      </c>
      <c r="J69" s="169">
        <f>Loans!Y86</f>
        <v>0</v>
      </c>
      <c r="K69" s="169">
        <f>Loans!Z86</f>
        <v>0</v>
      </c>
      <c r="L69" s="169">
        <f>Loans!AA86</f>
        <v>0</v>
      </c>
      <c r="M69" s="169">
        <f>Loans!AB86</f>
        <v>0</v>
      </c>
      <c r="N69" s="169">
        <f>Loans!AC86</f>
        <v>0</v>
      </c>
      <c r="O69" s="169">
        <f>Loans!AD86</f>
        <v>0</v>
      </c>
      <c r="P69" s="169">
        <f>Loans!AE86</f>
        <v>0</v>
      </c>
      <c r="Q69" s="169">
        <f>Loans!AF86</f>
        <v>0</v>
      </c>
      <c r="R69" s="169">
        <f>Loans!AG86</f>
        <v>0</v>
      </c>
      <c r="S69" s="169">
        <f>Loans!AH86</f>
        <v>0</v>
      </c>
      <c r="T69" s="169">
        <f>Loans!AI86</f>
        <v>0</v>
      </c>
      <c r="U69" s="169">
        <f>Loans!AJ86</f>
        <v>0</v>
      </c>
      <c r="V69" s="169">
        <f>Loans!AK86</f>
        <v>0</v>
      </c>
      <c r="W69" s="169">
        <f>Loans!AL86</f>
        <v>0</v>
      </c>
      <c r="X69" s="169">
        <f>Loans!AM86</f>
        <v>0</v>
      </c>
      <c r="Y69" s="169">
        <f>Loans!AN86</f>
        <v>0</v>
      </c>
      <c r="Z69" s="169">
        <f>Loans!AO86</f>
        <v>0</v>
      </c>
      <c r="AA69" s="169">
        <f>Loans!AP86</f>
        <v>0</v>
      </c>
      <c r="AB69" s="169">
        <f>Loans!AQ86</f>
        <v>0</v>
      </c>
      <c r="AC69" s="169">
        <f>Loans!AR86</f>
        <v>0</v>
      </c>
      <c r="AD69" s="169">
        <f>Loans!AS86</f>
        <v>0</v>
      </c>
      <c r="AE69" s="169">
        <f>Loans!AT86</f>
        <v>0</v>
      </c>
      <c r="AF69" s="169">
        <f>Loans!AU86</f>
        <v>0</v>
      </c>
      <c r="AG69" s="169">
        <f>Loans!AV86</f>
        <v>0</v>
      </c>
      <c r="AH69" s="169">
        <f>Loans!AW86</f>
        <v>0</v>
      </c>
      <c r="AI69" s="169">
        <f>Loans!AX86</f>
        <v>0</v>
      </c>
      <c r="AJ69" s="169">
        <f>Loans!AY86</f>
        <v>0</v>
      </c>
      <c r="AK69" s="169">
        <f>Loans!AZ86</f>
        <v>0</v>
      </c>
      <c r="AL69" s="169">
        <f>Loans!BA86</f>
        <v>0</v>
      </c>
      <c r="AM69" s="169">
        <f>Loans!BB86</f>
        <v>0</v>
      </c>
      <c r="AN69" s="169">
        <f>Loans!BC86</f>
        <v>0</v>
      </c>
      <c r="AO69" s="169">
        <f>Loans!BD86</f>
        <v>0</v>
      </c>
      <c r="AP69" s="169">
        <f>Loans!BE86</f>
        <v>0</v>
      </c>
      <c r="AQ69" s="169">
        <f>Loans!BF86</f>
        <v>0</v>
      </c>
      <c r="AR69" s="169"/>
      <c r="AS69" s="169"/>
    </row>
    <row r="70" spans="1:45" s="160" customFormat="1" ht="12.75" customHeight="1">
      <c r="A70" s="213"/>
      <c r="B70" s="257"/>
      <c r="C70" s="258" t="s">
        <v>235</v>
      </c>
      <c r="D70" s="173">
        <f aca="true" t="shared" si="53" ref="D70:AQ70">SUM(D52:D67)</f>
        <v>1000</v>
      </c>
      <c r="E70" s="173">
        <f t="shared" si="53"/>
        <v>0</v>
      </c>
      <c r="F70" s="173">
        <f t="shared" si="53"/>
        <v>0</v>
      </c>
      <c r="G70" s="173">
        <f t="shared" si="53"/>
        <v>0</v>
      </c>
      <c r="H70" s="173">
        <f t="shared" si="53"/>
        <v>0</v>
      </c>
      <c r="I70" s="173">
        <f t="shared" si="53"/>
        <v>0</v>
      </c>
      <c r="J70" s="173">
        <f t="shared" si="53"/>
        <v>0</v>
      </c>
      <c r="K70" s="173">
        <f t="shared" si="53"/>
        <v>0</v>
      </c>
      <c r="L70" s="173">
        <f t="shared" si="53"/>
        <v>0</v>
      </c>
      <c r="M70" s="173">
        <f t="shared" si="53"/>
        <v>0</v>
      </c>
      <c r="N70" s="173">
        <f t="shared" si="53"/>
        <v>0</v>
      </c>
      <c r="O70" s="173">
        <f t="shared" si="53"/>
        <v>0</v>
      </c>
      <c r="P70" s="173">
        <f t="shared" si="53"/>
        <v>0</v>
      </c>
      <c r="Q70" s="173">
        <f t="shared" si="53"/>
        <v>0</v>
      </c>
      <c r="R70" s="173">
        <f t="shared" si="53"/>
        <v>0</v>
      </c>
      <c r="S70" s="173">
        <f t="shared" si="53"/>
        <v>0</v>
      </c>
      <c r="T70" s="173">
        <f t="shared" si="53"/>
        <v>0</v>
      </c>
      <c r="U70" s="173">
        <f t="shared" si="53"/>
        <v>0</v>
      </c>
      <c r="V70" s="173">
        <f t="shared" si="53"/>
        <v>0</v>
      </c>
      <c r="W70" s="173">
        <f t="shared" si="53"/>
        <v>0</v>
      </c>
      <c r="X70" s="173">
        <f t="shared" si="53"/>
        <v>0</v>
      </c>
      <c r="Y70" s="173">
        <f t="shared" si="53"/>
        <v>0</v>
      </c>
      <c r="Z70" s="173">
        <f t="shared" si="53"/>
        <v>0</v>
      </c>
      <c r="AA70" s="173">
        <f t="shared" si="53"/>
        <v>0</v>
      </c>
      <c r="AB70" s="173">
        <f t="shared" si="53"/>
        <v>0</v>
      </c>
      <c r="AC70" s="173">
        <f t="shared" si="53"/>
        <v>0</v>
      </c>
      <c r="AD70" s="173">
        <f t="shared" si="53"/>
        <v>0</v>
      </c>
      <c r="AE70" s="173">
        <f t="shared" si="53"/>
        <v>0</v>
      </c>
      <c r="AF70" s="173">
        <f t="shared" si="53"/>
        <v>0</v>
      </c>
      <c r="AG70" s="173">
        <f t="shared" si="53"/>
        <v>0</v>
      </c>
      <c r="AH70" s="173">
        <f t="shared" si="53"/>
        <v>0</v>
      </c>
      <c r="AI70" s="173">
        <f t="shared" si="53"/>
        <v>0</v>
      </c>
      <c r="AJ70" s="173">
        <f t="shared" si="53"/>
        <v>0</v>
      </c>
      <c r="AK70" s="173">
        <f t="shared" si="53"/>
        <v>0</v>
      </c>
      <c r="AL70" s="173">
        <f t="shared" si="53"/>
        <v>0</v>
      </c>
      <c r="AM70" s="173">
        <f t="shared" si="53"/>
        <v>0</v>
      </c>
      <c r="AN70" s="173">
        <f t="shared" si="53"/>
        <v>0</v>
      </c>
      <c r="AO70" s="173">
        <f t="shared" si="53"/>
        <v>0</v>
      </c>
      <c r="AP70" s="173">
        <f t="shared" si="53"/>
        <v>0</v>
      </c>
      <c r="AQ70" s="173">
        <f t="shared" si="53"/>
        <v>0</v>
      </c>
      <c r="AR70" s="169"/>
      <c r="AS70" s="169"/>
    </row>
    <row r="73" spans="1:15" ht="13.5" customHeight="1">
      <c r="A73" s="56"/>
      <c r="B73" s="56"/>
      <c r="C73" s="56"/>
      <c r="D73" s="56"/>
      <c r="E73" s="56"/>
      <c r="F73" s="56"/>
      <c r="G73" s="56"/>
      <c r="H73" s="56"/>
      <c r="I73" s="56"/>
      <c r="J73" s="56"/>
      <c r="K73" s="56"/>
      <c r="L73" s="56"/>
      <c r="M73" s="56"/>
      <c r="N73" s="56"/>
      <c r="O73" s="56"/>
    </row>
    <row r="74" spans="1:65" ht="12.75" customHeight="1">
      <c r="A74" s="56"/>
      <c r="B74" s="56"/>
      <c r="C74" s="56"/>
      <c r="D74" s="56"/>
      <c r="E74" s="56"/>
      <c r="F74" s="56"/>
      <c r="G74" s="56"/>
      <c r="H74" s="56"/>
      <c r="I74" s="56"/>
      <c r="J74" s="56"/>
      <c r="K74" s="56"/>
      <c r="L74" s="56"/>
      <c r="M74" s="56"/>
      <c r="N74" s="56"/>
      <c r="O74" s="56"/>
      <c r="BM74" s="37" t="s">
        <v>236</v>
      </c>
    </row>
  </sheetData>
  <sheetProtection sheet="1"/>
  <mergeCells count="7">
    <mergeCell ref="B61:B67"/>
    <mergeCell ref="B1:C1"/>
    <mergeCell ref="B7:B13"/>
    <mergeCell ref="B29:B35"/>
    <mergeCell ref="B37:B41"/>
    <mergeCell ref="B47:B48"/>
    <mergeCell ref="B52:B59"/>
  </mergeCells>
  <dataValidations count="1">
    <dataValidation type="list" operator="equal" allowBlank="1" showErrorMessage="1" sqref="N4">
      <formula1>estimatedOrActual</formula1>
    </dataValidation>
  </dataValidations>
  <printOptions/>
  <pageMargins left="0.5513888888888889" right="0.5513888888888889" top="0.7875" bottom="0.7875" header="0.5118055555555555" footer="0.5118055555555555"/>
  <pageSetup horizontalDpi="300" verticalDpi="300" orientation="landscape"/>
  <rowBreaks count="2" manualBreakCount="2">
    <brk id="5" max="255" man="1"/>
    <brk id="7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AI94"/>
  <sheetViews>
    <sheetView zoomScalePageLayoutView="0" workbookViewId="0" topLeftCell="A37">
      <selection activeCell="A1" sqref="A1"/>
    </sheetView>
  </sheetViews>
  <sheetFormatPr defaultColWidth="9.140625" defaultRowHeight="12.75" customHeight="1"/>
  <cols>
    <col min="1" max="1" width="1.421875" style="259" customWidth="1"/>
    <col min="2" max="2" width="15.8515625" style="260" customWidth="1"/>
    <col min="3" max="3" width="1.7109375" style="261" customWidth="1"/>
    <col min="4" max="4" width="6.28125" style="260" customWidth="1"/>
    <col min="5" max="5" width="1.7109375" style="261" customWidth="1"/>
    <col min="6" max="6" width="4.140625" style="260" customWidth="1"/>
    <col min="7" max="7" width="1.7109375" style="261" customWidth="1"/>
    <col min="8" max="8" width="4.140625" style="260" customWidth="1"/>
    <col min="9" max="9" width="1.7109375" style="261" customWidth="1"/>
    <col min="10" max="10" width="4.140625" style="260" customWidth="1"/>
    <col min="11" max="11" width="1.7109375" style="261" customWidth="1"/>
    <col min="12" max="12" width="4.140625" style="260" customWidth="1"/>
    <col min="13" max="13" width="1.7109375" style="261" customWidth="1"/>
    <col min="14" max="14" width="4.140625" style="260" customWidth="1"/>
    <col min="15" max="15" width="1.7109375" style="261" customWidth="1"/>
    <col min="16" max="16" width="4.140625" style="260" customWidth="1"/>
    <col min="17" max="17" width="1.7109375" style="261" customWidth="1"/>
    <col min="18" max="18" width="4.140625" style="260" customWidth="1"/>
    <col min="19" max="19" width="1.7109375" style="261" customWidth="1"/>
    <col min="20" max="20" width="4.140625" style="260" customWidth="1"/>
    <col min="21" max="21" width="1.7109375" style="261" customWidth="1"/>
    <col min="22" max="22" width="4.140625" style="260" customWidth="1"/>
    <col min="23" max="23" width="1.7109375" style="261" customWidth="1"/>
    <col min="24" max="24" width="4.140625" style="260" customWidth="1"/>
    <col min="25" max="25" width="1.7109375" style="261" customWidth="1"/>
    <col min="26" max="26" width="4.140625" style="260" customWidth="1"/>
    <col min="27" max="27" width="5.57421875" style="262" customWidth="1"/>
    <col min="28" max="28" width="1.57421875" style="263" customWidth="1"/>
    <col min="29" max="16384" width="9.140625" style="264" customWidth="1"/>
  </cols>
  <sheetData>
    <row r="1" spans="2:28" s="265" customFormat="1" ht="15" customHeight="1">
      <c r="B1" s="266" t="s">
        <v>237</v>
      </c>
      <c r="C1" s="267"/>
      <c r="D1" s="268"/>
      <c r="E1" s="269"/>
      <c r="F1" s="270"/>
      <c r="G1" s="270"/>
      <c r="H1" s="271"/>
      <c r="I1" s="272"/>
      <c r="J1" s="271"/>
      <c r="K1" s="272"/>
      <c r="L1" s="273"/>
      <c r="M1" s="272"/>
      <c r="N1" s="271"/>
      <c r="O1" s="272"/>
      <c r="P1" s="273"/>
      <c r="Q1" s="272"/>
      <c r="R1" s="273"/>
      <c r="S1" s="272"/>
      <c r="T1" s="273"/>
      <c r="U1" s="272"/>
      <c r="V1" s="273"/>
      <c r="W1" s="274"/>
      <c r="X1" s="275"/>
      <c r="Y1" s="274"/>
      <c r="Z1" s="275"/>
      <c r="AA1" s="276"/>
      <c r="AB1" s="276"/>
    </row>
    <row r="2" spans="1:28" s="265" customFormat="1" ht="6" customHeight="1">
      <c r="A2" s="277"/>
      <c r="B2" s="278"/>
      <c r="C2" s="278"/>
      <c r="D2" s="279"/>
      <c r="E2" s="280"/>
      <c r="F2" s="281"/>
      <c r="G2" s="281"/>
      <c r="H2" s="282"/>
      <c r="I2" s="283"/>
      <c r="J2" s="282"/>
      <c r="K2" s="283"/>
      <c r="L2" s="284"/>
      <c r="M2" s="283"/>
      <c r="N2" s="282"/>
      <c r="O2" s="283"/>
      <c r="P2" s="284"/>
      <c r="Q2" s="283"/>
      <c r="R2" s="284"/>
      <c r="S2" s="283"/>
      <c r="T2" s="284"/>
      <c r="U2" s="283"/>
      <c r="V2" s="284"/>
      <c r="W2" s="285"/>
      <c r="X2" s="286"/>
      <c r="Y2" s="287"/>
      <c r="Z2" s="286"/>
      <c r="AA2" s="288"/>
      <c r="AB2" s="276"/>
    </row>
    <row r="3" spans="1:31" s="265" customFormat="1" ht="9" customHeight="1">
      <c r="A3" s="289"/>
      <c r="B3" s="562" t="s">
        <v>238</v>
      </c>
      <c r="C3" s="562"/>
      <c r="D3" s="562"/>
      <c r="E3" s="562"/>
      <c r="F3" s="562"/>
      <c r="G3" s="291"/>
      <c r="H3" s="292"/>
      <c r="I3" s="291"/>
      <c r="O3" s="291"/>
      <c r="P3" s="293"/>
      <c r="Q3" s="291"/>
      <c r="R3" s="293"/>
      <c r="W3" s="285"/>
      <c r="X3" s="286"/>
      <c r="Y3" s="287"/>
      <c r="Z3" s="286"/>
      <c r="AA3" s="288"/>
      <c r="AB3" s="276"/>
      <c r="AE3" s="294"/>
    </row>
    <row r="4" spans="1:31" s="265" customFormat="1" ht="9" customHeight="1">
      <c r="A4" s="289"/>
      <c r="B4" s="290"/>
      <c r="C4" s="290"/>
      <c r="D4" s="290"/>
      <c r="E4" s="290"/>
      <c r="F4" s="290"/>
      <c r="G4" s="291"/>
      <c r="H4" s="292"/>
      <c r="I4" s="291"/>
      <c r="O4" s="291"/>
      <c r="P4" s="293"/>
      <c r="Q4" s="291"/>
      <c r="R4" s="293"/>
      <c r="S4" s="563" t="s">
        <v>69</v>
      </c>
      <c r="T4" s="563"/>
      <c r="U4" s="563"/>
      <c r="V4" s="563"/>
      <c r="W4" s="285"/>
      <c r="X4" s="286"/>
      <c r="Y4" s="287"/>
      <c r="Z4" s="286"/>
      <c r="AA4" s="288"/>
      <c r="AB4" s="276"/>
      <c r="AE4" s="294"/>
    </row>
    <row r="5" spans="1:34" s="265" customFormat="1" ht="9" customHeight="1">
      <c r="A5" s="289"/>
      <c r="B5" s="564" t="str">
        <f>'Inc &amp; Exp'!D50</f>
        <v>Total Mortgage type loans</v>
      </c>
      <c r="C5" s="564"/>
      <c r="D5" s="564"/>
      <c r="E5" s="564"/>
      <c r="F5" s="564"/>
      <c r="G5" s="564"/>
      <c r="H5" s="564"/>
      <c r="I5" s="564"/>
      <c r="J5" s="564"/>
      <c r="K5" s="564"/>
      <c r="L5" s="564"/>
      <c r="M5" s="564"/>
      <c r="N5" s="564"/>
      <c r="O5" s="564"/>
      <c r="P5" s="564"/>
      <c r="Q5" s="564"/>
      <c r="R5" s="564"/>
      <c r="S5" s="565">
        <f>'Inc &amp; Exp'!G50</f>
        <v>100000</v>
      </c>
      <c r="T5" s="565"/>
      <c r="U5" s="565"/>
      <c r="V5" s="565"/>
      <c r="W5" s="285"/>
      <c r="X5" s="286"/>
      <c r="Y5" s="287"/>
      <c r="Z5" s="286"/>
      <c r="AA5" s="288"/>
      <c r="AB5" s="276"/>
      <c r="AE5" s="295"/>
      <c r="AF5" s="295"/>
      <c r="AH5" s="296"/>
    </row>
    <row r="6" spans="1:34" s="265" customFormat="1" ht="9" customHeight="1">
      <c r="A6" s="289"/>
      <c r="B6" s="566" t="str">
        <f>'Inc &amp; Exp'!D51</f>
        <v>Total Loanstock</v>
      </c>
      <c r="C6" s="566"/>
      <c r="D6" s="566"/>
      <c r="E6" s="566"/>
      <c r="F6" s="566"/>
      <c r="G6" s="566"/>
      <c r="H6" s="566"/>
      <c r="I6" s="566"/>
      <c r="J6" s="566"/>
      <c r="K6" s="566"/>
      <c r="L6" s="566"/>
      <c r="M6" s="566"/>
      <c r="N6" s="566"/>
      <c r="O6" s="566"/>
      <c r="P6" s="566"/>
      <c r="Q6" s="566"/>
      <c r="R6" s="566"/>
      <c r="S6" s="565">
        <f>'Inc &amp; Exp'!G51</f>
        <v>1000</v>
      </c>
      <c r="T6" s="565"/>
      <c r="U6" s="565"/>
      <c r="V6" s="565"/>
      <c r="W6" s="285"/>
      <c r="X6" s="286"/>
      <c r="Y6" s="287"/>
      <c r="Z6" s="286"/>
      <c r="AA6" s="288"/>
      <c r="AB6" s="276"/>
      <c r="AE6" s="295"/>
      <c r="AF6" s="295"/>
      <c r="AH6" s="296"/>
    </row>
    <row r="7" spans="1:34" s="265" customFormat="1" ht="9" customHeight="1">
      <c r="A7" s="289"/>
      <c r="B7" s="564" t="str">
        <f>'Inc &amp; Exp'!D52</f>
        <v>Other ( usually donations ! )</v>
      </c>
      <c r="C7" s="564"/>
      <c r="D7" s="564"/>
      <c r="E7" s="564"/>
      <c r="F7" s="564"/>
      <c r="G7" s="564"/>
      <c r="H7" s="564"/>
      <c r="I7" s="564"/>
      <c r="J7" s="564"/>
      <c r="K7" s="564"/>
      <c r="L7" s="564"/>
      <c r="M7" s="564"/>
      <c r="N7" s="564"/>
      <c r="O7" s="564"/>
      <c r="P7" s="564"/>
      <c r="Q7" s="564"/>
      <c r="R7" s="564"/>
      <c r="S7" s="565">
        <f>'Inc &amp; Exp'!G52</f>
        <v>0</v>
      </c>
      <c r="T7" s="565"/>
      <c r="U7" s="565"/>
      <c r="V7" s="565"/>
      <c r="W7" s="285"/>
      <c r="X7" s="286"/>
      <c r="Y7" s="287"/>
      <c r="Z7" s="286"/>
      <c r="AA7" s="288"/>
      <c r="AB7" s="276"/>
      <c r="AE7" s="295"/>
      <c r="AF7" s="295"/>
      <c r="AH7" s="297"/>
    </row>
    <row r="8" spans="1:34" s="265" customFormat="1" ht="9" customHeight="1">
      <c r="A8" s="289"/>
      <c r="B8" s="298"/>
      <c r="C8" s="299"/>
      <c r="D8" s="300"/>
      <c r="E8" s="301"/>
      <c r="F8" s="301"/>
      <c r="G8" s="291"/>
      <c r="H8" s="292"/>
      <c r="I8" s="291"/>
      <c r="J8" s="567" t="str">
        <f>'Inc &amp; Exp'!F54</f>
        <v>Total Day 1 income &gt;&gt;</v>
      </c>
      <c r="K8" s="567"/>
      <c r="L8" s="567"/>
      <c r="M8" s="567"/>
      <c r="N8" s="567"/>
      <c r="O8" s="567"/>
      <c r="P8" s="567"/>
      <c r="Q8" s="567"/>
      <c r="R8" s="567"/>
      <c r="S8" s="568">
        <f>'Inc &amp; Exp'!G54</f>
        <v>101000</v>
      </c>
      <c r="T8" s="568"/>
      <c r="U8" s="568"/>
      <c r="V8" s="568"/>
      <c r="W8" s="285"/>
      <c r="X8" s="286"/>
      <c r="Y8" s="287"/>
      <c r="Z8" s="286"/>
      <c r="AA8" s="288"/>
      <c r="AB8" s="276"/>
      <c r="AE8" s="295"/>
      <c r="AF8" s="295"/>
      <c r="AG8" s="302"/>
      <c r="AH8" s="303"/>
    </row>
    <row r="9" spans="1:34" s="265" customFormat="1" ht="4.5" customHeight="1">
      <c r="A9" s="289"/>
      <c r="B9" s="278"/>
      <c r="C9" s="279"/>
      <c r="D9" s="280"/>
      <c r="E9" s="281"/>
      <c r="F9" s="281"/>
      <c r="G9" s="283"/>
      <c r="H9" s="282"/>
      <c r="I9" s="283"/>
      <c r="J9" s="304"/>
      <c r="K9" s="304"/>
      <c r="L9" s="304"/>
      <c r="M9" s="304"/>
      <c r="N9" s="304"/>
      <c r="O9" s="304"/>
      <c r="P9" s="304"/>
      <c r="Q9" s="304"/>
      <c r="R9" s="304"/>
      <c r="S9" s="305"/>
      <c r="T9" s="305"/>
      <c r="U9" s="305"/>
      <c r="V9" s="305"/>
      <c r="W9" s="285"/>
      <c r="X9" s="286"/>
      <c r="Y9" s="287"/>
      <c r="Z9" s="286"/>
      <c r="AA9" s="288"/>
      <c r="AB9" s="276"/>
      <c r="AE9" s="295"/>
      <c r="AF9" s="295"/>
      <c r="AG9" s="302"/>
      <c r="AH9" s="303"/>
    </row>
    <row r="10" spans="1:28" s="265" customFormat="1" ht="4.5" customHeight="1">
      <c r="A10" s="306"/>
      <c r="B10" s="307"/>
      <c r="C10" s="308"/>
      <c r="D10" s="309"/>
      <c r="E10" s="310"/>
      <c r="F10" s="310"/>
      <c r="G10" s="311"/>
      <c r="H10" s="312"/>
      <c r="I10" s="311"/>
      <c r="J10" s="312"/>
      <c r="K10" s="311"/>
      <c r="L10" s="313"/>
      <c r="M10" s="311"/>
      <c r="N10" s="312"/>
      <c r="O10" s="569"/>
      <c r="P10" s="569"/>
      <c r="Q10" s="569"/>
      <c r="R10" s="569"/>
      <c r="S10" s="570"/>
      <c r="T10" s="570"/>
      <c r="U10" s="570"/>
      <c r="V10" s="570"/>
      <c r="W10" s="315"/>
      <c r="X10" s="286"/>
      <c r="Y10" s="287"/>
      <c r="Z10" s="286"/>
      <c r="AA10" s="288"/>
      <c r="AB10" s="276"/>
    </row>
    <row r="11" spans="1:34" s="265" customFormat="1" ht="9" customHeight="1">
      <c r="A11" s="306"/>
      <c r="B11" s="562" t="s">
        <v>239</v>
      </c>
      <c r="C11" s="562"/>
      <c r="D11" s="562"/>
      <c r="E11" s="562"/>
      <c r="F11" s="562"/>
      <c r="G11" s="291"/>
      <c r="H11" s="292"/>
      <c r="I11" s="291"/>
      <c r="O11" s="571"/>
      <c r="P11" s="571"/>
      <c r="Q11" s="571"/>
      <c r="R11" s="571"/>
      <c r="W11" s="315"/>
      <c r="X11" s="286"/>
      <c r="Y11" s="287"/>
      <c r="Z11" s="286"/>
      <c r="AA11" s="288"/>
      <c r="AB11" s="276"/>
      <c r="AE11" s="294"/>
      <c r="AH11" s="316"/>
    </row>
    <row r="12" spans="1:34" s="265" customFormat="1" ht="9" customHeight="1">
      <c r="A12" s="306"/>
      <c r="B12" s="290"/>
      <c r="C12" s="290"/>
      <c r="D12" s="290"/>
      <c r="E12" s="290"/>
      <c r="F12" s="290"/>
      <c r="G12" s="291"/>
      <c r="H12" s="292"/>
      <c r="I12" s="291"/>
      <c r="O12" s="291"/>
      <c r="P12" s="291"/>
      <c r="Q12" s="291"/>
      <c r="R12" s="291"/>
      <c r="S12" s="563" t="str">
        <f>'Inc &amp; Exp'!G63</f>
        <v>amount (£)</v>
      </c>
      <c r="T12" s="563"/>
      <c r="U12" s="563"/>
      <c r="V12" s="563"/>
      <c r="W12" s="315"/>
      <c r="X12" s="286"/>
      <c r="Y12" s="287"/>
      <c r="Z12" s="286"/>
      <c r="AA12" s="288"/>
      <c r="AB12" s="276"/>
      <c r="AE12" s="294"/>
      <c r="AH12" s="316"/>
    </row>
    <row r="13" spans="1:31" s="265" customFormat="1" ht="9" customHeight="1">
      <c r="A13" s="306"/>
      <c r="B13" s="572" t="str">
        <f>'Inc &amp; Exp'!D64</f>
        <v>Purchase price</v>
      </c>
      <c r="C13" s="572"/>
      <c r="D13" s="572"/>
      <c r="E13" s="572"/>
      <c r="F13" s="572"/>
      <c r="G13" s="572"/>
      <c r="H13" s="572"/>
      <c r="I13" s="572"/>
      <c r="J13" s="572"/>
      <c r="K13" s="572"/>
      <c r="L13" s="572"/>
      <c r="M13" s="572"/>
      <c r="N13" s="572"/>
      <c r="O13" s="573">
        <f>IF('Inc &amp; Exp'!F64&lt;&gt;0,'Inc &amp; Exp'!F64,"")</f>
      </c>
      <c r="P13" s="573"/>
      <c r="Q13" s="573"/>
      <c r="R13" s="573"/>
      <c r="S13" s="565">
        <f>'Inc &amp; Exp'!G64</f>
        <v>0</v>
      </c>
      <c r="T13" s="565"/>
      <c r="U13" s="565"/>
      <c r="V13" s="565"/>
      <c r="W13" s="315"/>
      <c r="X13" s="286"/>
      <c r="Y13" s="287"/>
      <c r="Z13" s="286"/>
      <c r="AA13" s="288"/>
      <c r="AB13" s="276"/>
      <c r="AE13" s="275"/>
    </row>
    <row r="14" spans="1:34" s="265" customFormat="1" ht="9" customHeight="1">
      <c r="A14" s="306"/>
      <c r="B14" s="572" t="str">
        <f>'Inc &amp; Exp'!D65</f>
        <v>Stamp duty land tax (SDLT)</v>
      </c>
      <c r="C14" s="572"/>
      <c r="D14" s="572"/>
      <c r="E14" s="572"/>
      <c r="F14" s="572"/>
      <c r="G14" s="572"/>
      <c r="H14" s="572"/>
      <c r="I14" s="572"/>
      <c r="J14" s="572"/>
      <c r="K14" s="572"/>
      <c r="L14" s="572"/>
      <c r="M14" s="572"/>
      <c r="N14" s="572"/>
      <c r="O14" s="574">
        <f>IF('Inc &amp; Exp'!F65&lt;&gt;0,'Inc &amp; Exp'!F65,"")</f>
      </c>
      <c r="P14" s="574"/>
      <c r="Q14" s="574"/>
      <c r="R14" s="574"/>
      <c r="S14" s="565">
        <f>'Inc &amp; Exp'!G65</f>
        <v>0</v>
      </c>
      <c r="T14" s="565"/>
      <c r="U14" s="565"/>
      <c r="V14" s="565"/>
      <c r="W14" s="315"/>
      <c r="X14" s="286"/>
      <c r="Y14" s="287"/>
      <c r="Z14" s="286"/>
      <c r="AA14" s="288"/>
      <c r="AB14" s="276"/>
      <c r="AE14" s="275"/>
      <c r="AH14" s="295"/>
    </row>
    <row r="15" spans="1:34" s="265" customFormat="1" ht="9" customHeight="1">
      <c r="A15" s="306"/>
      <c r="B15" s="572" t="str">
        <f>'Inc &amp; Exp'!D67</f>
        <v>Legal fees</v>
      </c>
      <c r="C15" s="572"/>
      <c r="D15" s="572"/>
      <c r="E15" s="572"/>
      <c r="F15" s="572"/>
      <c r="G15" s="572"/>
      <c r="H15" s="572"/>
      <c r="I15" s="572"/>
      <c r="J15" s="572"/>
      <c r="K15" s="572"/>
      <c r="L15" s="572"/>
      <c r="M15" s="572"/>
      <c r="N15" s="572"/>
      <c r="O15" s="573">
        <f>IF('Inc &amp; Exp'!F67&lt;&gt;0,'Inc &amp; Exp'!F67,"")</f>
      </c>
      <c r="P15" s="573"/>
      <c r="Q15" s="573"/>
      <c r="R15" s="573"/>
      <c r="S15" s="565">
        <f>'Inc &amp; Exp'!G67</f>
        <v>0</v>
      </c>
      <c r="T15" s="565"/>
      <c r="U15" s="565"/>
      <c r="V15" s="565"/>
      <c r="W15" s="315"/>
      <c r="X15" s="286"/>
      <c r="Y15" s="287"/>
      <c r="Z15" s="286"/>
      <c r="AA15" s="288"/>
      <c r="AB15" s="276"/>
      <c r="AE15" s="275"/>
      <c r="AH15" s="317"/>
    </row>
    <row r="16" spans="1:34" s="265" customFormat="1" ht="9" customHeight="1">
      <c r="A16" s="306"/>
      <c r="B16" s="572" t="str">
        <f>'Inc &amp; Exp'!D68</f>
        <v>Survey</v>
      </c>
      <c r="C16" s="572"/>
      <c r="D16" s="572"/>
      <c r="E16" s="572"/>
      <c r="F16" s="572"/>
      <c r="G16" s="572"/>
      <c r="H16" s="572"/>
      <c r="I16" s="572"/>
      <c r="J16" s="572"/>
      <c r="K16" s="572"/>
      <c r="L16" s="572"/>
      <c r="M16" s="572"/>
      <c r="N16" s="572"/>
      <c r="O16" s="573">
        <f>IF('Inc &amp; Exp'!F68&lt;&gt;0,'Inc &amp; Exp'!F68,"")</f>
      </c>
      <c r="P16" s="573"/>
      <c r="Q16" s="573"/>
      <c r="R16" s="573"/>
      <c r="S16" s="565">
        <f>'Inc &amp; Exp'!G68</f>
        <v>0</v>
      </c>
      <c r="T16" s="565"/>
      <c r="U16" s="565"/>
      <c r="V16" s="565"/>
      <c r="W16" s="315"/>
      <c r="X16" s="286"/>
      <c r="Y16" s="287"/>
      <c r="Z16" s="286"/>
      <c r="AA16" s="288"/>
      <c r="AB16" s="276"/>
      <c r="AE16" s="275"/>
      <c r="AH16" s="317"/>
    </row>
    <row r="17" spans="1:34" s="265" customFormat="1" ht="9" customHeight="1">
      <c r="A17" s="306"/>
      <c r="B17" s="572" t="str">
        <f>'Inc &amp; Exp'!D69</f>
        <v>Mortgage fees</v>
      </c>
      <c r="C17" s="572"/>
      <c r="D17" s="572"/>
      <c r="E17" s="572"/>
      <c r="F17" s="572"/>
      <c r="G17" s="572"/>
      <c r="H17" s="572"/>
      <c r="I17" s="572"/>
      <c r="J17" s="572"/>
      <c r="K17" s="572"/>
      <c r="L17" s="572"/>
      <c r="M17" s="572"/>
      <c r="N17" s="572"/>
      <c r="O17" s="573">
        <f>IF('Inc &amp; Exp'!F69&lt;&gt;0,'Inc &amp; Exp'!F69,"")</f>
      </c>
      <c r="P17" s="573"/>
      <c r="Q17" s="573"/>
      <c r="R17" s="573"/>
      <c r="S17" s="565">
        <f>'Inc &amp; Exp'!G69</f>
        <v>0</v>
      </c>
      <c r="T17" s="565"/>
      <c r="U17" s="565"/>
      <c r="V17" s="565"/>
      <c r="W17" s="315"/>
      <c r="X17" s="286"/>
      <c r="Y17" s="287"/>
      <c r="Z17" s="286"/>
      <c r="AA17" s="288"/>
      <c r="AB17" s="276"/>
      <c r="AE17" s="275"/>
      <c r="AH17" s="317"/>
    </row>
    <row r="18" spans="1:34" s="265" customFormat="1" ht="9" customHeight="1">
      <c r="A18" s="306"/>
      <c r="B18" s="572" t="str">
        <f>'Inc &amp; Exp'!D70</f>
        <v>RR Loan fees</v>
      </c>
      <c r="C18" s="572"/>
      <c r="D18" s="572"/>
      <c r="E18" s="572"/>
      <c r="F18" s="572"/>
      <c r="G18" s="572"/>
      <c r="H18" s="572"/>
      <c r="I18" s="572"/>
      <c r="J18" s="572"/>
      <c r="K18" s="572"/>
      <c r="L18" s="572"/>
      <c r="M18" s="572"/>
      <c r="N18" s="572"/>
      <c r="O18" s="573">
        <f>IF('Inc &amp; Exp'!F70&lt;&gt;0,'Inc &amp; Exp'!F70,"")</f>
      </c>
      <c r="P18" s="573"/>
      <c r="Q18" s="573"/>
      <c r="R18" s="573"/>
      <c r="S18" s="565">
        <f>'Inc &amp; Exp'!G70</f>
        <v>0</v>
      </c>
      <c r="T18" s="565"/>
      <c r="U18" s="565"/>
      <c r="V18" s="565"/>
      <c r="W18" s="315"/>
      <c r="X18" s="286"/>
      <c r="Y18" s="287"/>
      <c r="Z18" s="286"/>
      <c r="AA18" s="288"/>
      <c r="AB18" s="276"/>
      <c r="AE18" s="275"/>
      <c r="AH18" s="317"/>
    </row>
    <row r="19" spans="1:34" s="265" customFormat="1" ht="9" customHeight="1">
      <c r="A19" s="306"/>
      <c r="B19" s="572" t="str">
        <f>'Inc &amp; Exp'!D71</f>
        <v>Other Loan fees</v>
      </c>
      <c r="C19" s="572"/>
      <c r="D19" s="572"/>
      <c r="E19" s="572"/>
      <c r="F19" s="572"/>
      <c r="G19" s="572"/>
      <c r="H19" s="572"/>
      <c r="I19" s="572"/>
      <c r="J19" s="572"/>
      <c r="K19" s="572"/>
      <c r="L19" s="572"/>
      <c r="M19" s="572"/>
      <c r="N19" s="572"/>
      <c r="O19" s="573">
        <f>IF('Inc &amp; Exp'!F71&lt;&gt;0,'Inc &amp; Exp'!F71,"")</f>
      </c>
      <c r="P19" s="573"/>
      <c r="Q19" s="573"/>
      <c r="R19" s="573"/>
      <c r="S19" s="565">
        <f>'Inc &amp; Exp'!G71</f>
        <v>0</v>
      </c>
      <c r="T19" s="565"/>
      <c r="U19" s="565"/>
      <c r="V19" s="565"/>
      <c r="W19" s="315"/>
      <c r="X19" s="286"/>
      <c r="Y19" s="287"/>
      <c r="Z19" s="286"/>
      <c r="AA19" s="288"/>
      <c r="AB19" s="276"/>
      <c r="AE19" s="275"/>
      <c r="AH19" s="317"/>
    </row>
    <row r="20" spans="1:34" s="265" customFormat="1" ht="9" customHeight="1">
      <c r="A20" s="306"/>
      <c r="B20" s="572" t="str">
        <f>'Inc &amp; Exp'!D72</f>
        <v>other purchase costs</v>
      </c>
      <c r="C20" s="572"/>
      <c r="D20" s="572"/>
      <c r="E20" s="572"/>
      <c r="F20" s="572"/>
      <c r="G20" s="572"/>
      <c r="H20" s="572"/>
      <c r="I20" s="572"/>
      <c r="J20" s="572"/>
      <c r="K20" s="572"/>
      <c r="L20" s="572"/>
      <c r="M20" s="572"/>
      <c r="N20" s="572"/>
      <c r="O20" s="573">
        <f>IF('Inc &amp; Exp'!F72&lt;&gt;0,'Inc &amp; Exp'!F72,"")</f>
      </c>
      <c r="P20" s="573"/>
      <c r="Q20" s="573"/>
      <c r="R20" s="573"/>
      <c r="S20" s="565">
        <f>'Inc &amp; Exp'!G72</f>
        <v>0</v>
      </c>
      <c r="T20" s="565"/>
      <c r="U20" s="565"/>
      <c r="V20" s="565"/>
      <c r="W20" s="315"/>
      <c r="X20" s="286"/>
      <c r="Y20" s="287"/>
      <c r="Z20" s="286"/>
      <c r="AA20" s="288"/>
      <c r="AB20" s="276"/>
      <c r="AE20" s="275"/>
      <c r="AH20" s="317"/>
    </row>
    <row r="21" spans="1:34" s="265" customFormat="1" ht="9" customHeight="1">
      <c r="A21" s="306"/>
      <c r="B21" s="572" t="str">
        <f>'Inc &amp; Exp'!D75</f>
        <v>Initial purchases</v>
      </c>
      <c r="C21" s="572"/>
      <c r="D21" s="572"/>
      <c r="E21" s="572"/>
      <c r="F21" s="572"/>
      <c r="G21" s="572"/>
      <c r="H21" s="572"/>
      <c r="I21" s="572"/>
      <c r="J21" s="572"/>
      <c r="K21" s="572"/>
      <c r="L21" s="572"/>
      <c r="M21" s="572"/>
      <c r="N21" s="572"/>
      <c r="O21" s="573">
        <f>IF('Inc &amp; Exp'!F75&lt;&gt;0,'Inc &amp; Exp'!F75,"")</f>
      </c>
      <c r="P21" s="573"/>
      <c r="Q21" s="573"/>
      <c r="R21" s="573"/>
      <c r="S21" s="565">
        <f>'Inc &amp; Exp'!G75</f>
        <v>0</v>
      </c>
      <c r="T21" s="565"/>
      <c r="U21" s="565"/>
      <c r="V21" s="565"/>
      <c r="W21" s="315"/>
      <c r="X21" s="286"/>
      <c r="Y21" s="287"/>
      <c r="Z21" s="286"/>
      <c r="AA21" s="288"/>
      <c r="AB21" s="276"/>
      <c r="AE21" s="275"/>
      <c r="AH21" s="317"/>
    </row>
    <row r="22" spans="1:34" s="265" customFormat="1" ht="9" customHeight="1">
      <c r="A22" s="306"/>
      <c r="B22" s="572" t="str">
        <f>'Inc &amp; Exp'!D76</f>
        <v>moving costs</v>
      </c>
      <c r="C22" s="572"/>
      <c r="D22" s="572"/>
      <c r="E22" s="572"/>
      <c r="F22" s="572"/>
      <c r="G22" s="572"/>
      <c r="H22" s="572"/>
      <c r="I22" s="572"/>
      <c r="J22" s="572"/>
      <c r="K22" s="572"/>
      <c r="L22" s="572"/>
      <c r="M22" s="572"/>
      <c r="N22" s="572"/>
      <c r="O22" s="573">
        <f>IF('Inc &amp; Exp'!F76&lt;&gt;0,'Inc &amp; Exp'!F76,"")</f>
      </c>
      <c r="P22" s="573"/>
      <c r="Q22" s="573"/>
      <c r="R22" s="573"/>
      <c r="S22" s="565">
        <f>'Inc &amp; Exp'!G76</f>
        <v>0</v>
      </c>
      <c r="T22" s="565"/>
      <c r="U22" s="565"/>
      <c r="V22" s="565"/>
      <c r="W22" s="315"/>
      <c r="X22" s="286"/>
      <c r="Y22" s="287"/>
      <c r="Z22" s="286"/>
      <c r="AA22" s="288"/>
      <c r="AB22" s="276"/>
      <c r="AE22" s="275"/>
      <c r="AH22" s="317"/>
    </row>
    <row r="23" spans="1:34" s="265" customFormat="1" ht="9" customHeight="1">
      <c r="A23" s="306"/>
      <c r="B23" s="572" t="str">
        <f>'Inc &amp; Exp'!D77</f>
        <v>day 1 work</v>
      </c>
      <c r="C23" s="572"/>
      <c r="D23" s="572"/>
      <c r="E23" s="572"/>
      <c r="F23" s="572"/>
      <c r="G23" s="572"/>
      <c r="H23" s="572"/>
      <c r="I23" s="572"/>
      <c r="J23" s="572"/>
      <c r="K23" s="572"/>
      <c r="L23" s="572"/>
      <c r="M23" s="572"/>
      <c r="N23" s="572"/>
      <c r="O23" s="573">
        <f>IF('Inc &amp; Exp'!F77&lt;&gt;0,'Inc &amp; Exp'!F77,"")</f>
      </c>
      <c r="P23" s="573"/>
      <c r="Q23" s="573"/>
      <c r="R23" s="573"/>
      <c r="S23" s="565">
        <f>'Inc &amp; Exp'!G77</f>
        <v>0</v>
      </c>
      <c r="T23" s="565"/>
      <c r="U23" s="565"/>
      <c r="V23" s="565"/>
      <c r="W23" s="315"/>
      <c r="X23" s="286"/>
      <c r="Y23" s="287"/>
      <c r="Z23" s="286"/>
      <c r="AA23" s="288"/>
      <c r="AB23" s="276"/>
      <c r="AE23" s="275"/>
      <c r="AH23" s="317"/>
    </row>
    <row r="24" spans="1:34" s="265" customFormat="1" ht="9" customHeight="1">
      <c r="A24" s="306"/>
      <c r="B24" s="298"/>
      <c r="C24" s="299"/>
      <c r="D24" s="300"/>
      <c r="E24" s="301"/>
      <c r="F24" s="301"/>
      <c r="G24" s="291"/>
      <c r="H24" s="292"/>
      <c r="I24" s="291"/>
      <c r="J24" s="292"/>
      <c r="K24" s="291"/>
      <c r="L24" s="293"/>
      <c r="M24" s="291"/>
      <c r="N24" s="292"/>
      <c r="O24" s="571"/>
      <c r="P24" s="571"/>
      <c r="Q24" s="571"/>
      <c r="R24" s="571"/>
      <c r="S24" s="575"/>
      <c r="T24" s="575"/>
      <c r="U24" s="575"/>
      <c r="V24" s="575"/>
      <c r="W24" s="315"/>
      <c r="X24" s="286"/>
      <c r="Y24" s="287"/>
      <c r="Z24" s="286"/>
      <c r="AA24" s="288"/>
      <c r="AB24" s="276"/>
      <c r="AE24" s="275"/>
      <c r="AG24" s="295"/>
      <c r="AH24" s="295"/>
    </row>
    <row r="25" spans="1:34" s="265" customFormat="1" ht="9" customHeight="1">
      <c r="A25" s="306"/>
      <c r="B25" s="298"/>
      <c r="C25" s="299"/>
      <c r="D25" s="300"/>
      <c r="E25" s="301"/>
      <c r="F25" s="301"/>
      <c r="G25" s="291"/>
      <c r="H25" s="292"/>
      <c r="I25" s="567" t="str">
        <f>'Inc &amp; Exp'!F79</f>
        <v>Total Day 1 costs &gt;&gt;</v>
      </c>
      <c r="J25" s="567"/>
      <c r="K25" s="567"/>
      <c r="L25" s="567"/>
      <c r="M25" s="567"/>
      <c r="N25" s="567"/>
      <c r="O25" s="567"/>
      <c r="P25" s="567"/>
      <c r="Q25" s="567"/>
      <c r="R25" s="567"/>
      <c r="S25" s="576">
        <f>'Inc &amp; Exp'!G79</f>
        <v>0</v>
      </c>
      <c r="T25" s="576"/>
      <c r="U25" s="576"/>
      <c r="V25" s="576"/>
      <c r="W25" s="315"/>
      <c r="X25" s="286"/>
      <c r="Y25" s="287"/>
      <c r="Z25" s="286"/>
      <c r="AA25" s="288"/>
      <c r="AB25" s="276"/>
      <c r="AG25" s="302"/>
      <c r="AH25" s="294"/>
    </row>
    <row r="26" spans="1:28" s="265" customFormat="1" ht="5.25" customHeight="1">
      <c r="A26" s="306"/>
      <c r="B26" s="307"/>
      <c r="C26" s="308"/>
      <c r="D26" s="309"/>
      <c r="E26" s="310"/>
      <c r="F26" s="310"/>
      <c r="G26" s="311"/>
      <c r="H26" s="312"/>
      <c r="I26" s="311"/>
      <c r="J26" s="312"/>
      <c r="K26" s="311"/>
      <c r="L26" s="313"/>
      <c r="M26" s="311"/>
      <c r="N26" s="312"/>
      <c r="O26" s="311"/>
      <c r="P26" s="313"/>
      <c r="Q26" s="311"/>
      <c r="R26" s="313"/>
      <c r="S26" s="314"/>
      <c r="T26" s="314"/>
      <c r="U26" s="314"/>
      <c r="V26" s="314"/>
      <c r="W26" s="315"/>
      <c r="X26" s="286"/>
      <c r="Y26" s="287"/>
      <c r="Z26" s="286"/>
      <c r="AA26" s="288"/>
      <c r="AB26" s="276"/>
    </row>
    <row r="27" spans="1:28" s="265" customFormat="1" ht="3.75" customHeight="1">
      <c r="A27" s="318"/>
      <c r="B27" s="319"/>
      <c r="C27" s="320"/>
      <c r="D27" s="321"/>
      <c r="E27" s="322"/>
      <c r="F27" s="322"/>
      <c r="G27" s="323"/>
      <c r="H27" s="324"/>
      <c r="I27" s="323"/>
      <c r="J27" s="324"/>
      <c r="K27" s="323"/>
      <c r="L27" s="325"/>
      <c r="M27" s="323"/>
      <c r="N27" s="324"/>
      <c r="O27" s="323"/>
      <c r="P27" s="325"/>
      <c r="Q27" s="323"/>
      <c r="R27" s="325"/>
      <c r="S27" s="326"/>
      <c r="T27" s="326"/>
      <c r="U27" s="326"/>
      <c r="V27" s="326"/>
      <c r="W27" s="327"/>
      <c r="X27" s="286"/>
      <c r="Y27" s="287"/>
      <c r="Z27" s="286"/>
      <c r="AA27" s="288"/>
      <c r="AB27" s="276"/>
    </row>
    <row r="28" spans="1:34" s="265" customFormat="1" ht="9.75" customHeight="1">
      <c r="A28" s="318"/>
      <c r="B28" s="298"/>
      <c r="C28" s="299"/>
      <c r="D28" s="300"/>
      <c r="E28" s="301"/>
      <c r="F28" s="301"/>
      <c r="G28" s="291"/>
      <c r="H28" s="292"/>
      <c r="I28" s="567" t="str">
        <f>'Inc &amp; Exp'!F84</f>
        <v>Day 1 surplus &gt;&gt;</v>
      </c>
      <c r="J28" s="567"/>
      <c r="K28" s="567"/>
      <c r="L28" s="567"/>
      <c r="M28" s="567"/>
      <c r="N28" s="567"/>
      <c r="O28" s="567"/>
      <c r="P28" s="567"/>
      <c r="Q28" s="567"/>
      <c r="R28" s="567"/>
      <c r="S28" s="577">
        <f>'Inc &amp; Exp'!G84</f>
        <v>101000</v>
      </c>
      <c r="T28" s="577"/>
      <c r="U28" s="577"/>
      <c r="V28" s="577"/>
      <c r="W28" s="327"/>
      <c r="X28" s="286"/>
      <c r="Y28" s="287"/>
      <c r="Z28" s="286"/>
      <c r="AA28" s="288"/>
      <c r="AB28" s="276"/>
      <c r="AF28" s="295"/>
      <c r="AG28" s="302"/>
      <c r="AH28" s="328"/>
    </row>
    <row r="29" spans="1:28" s="265" customFormat="1" ht="3.75" customHeight="1">
      <c r="A29" s="318"/>
      <c r="B29" s="318"/>
      <c r="C29" s="329"/>
      <c r="D29" s="330"/>
      <c r="E29" s="331"/>
      <c r="F29" s="331"/>
      <c r="G29" s="327"/>
      <c r="H29" s="332"/>
      <c r="I29" s="327"/>
      <c r="J29" s="332"/>
      <c r="K29" s="327"/>
      <c r="L29" s="333"/>
      <c r="M29" s="327"/>
      <c r="N29" s="332"/>
      <c r="O29" s="327"/>
      <c r="P29" s="333"/>
      <c r="Q29" s="327"/>
      <c r="R29" s="333"/>
      <c r="S29" s="327"/>
      <c r="T29" s="333"/>
      <c r="U29" s="327"/>
      <c r="V29" s="333"/>
      <c r="W29" s="327"/>
      <c r="X29" s="286"/>
      <c r="Y29" s="287"/>
      <c r="Z29" s="286"/>
      <c r="AA29" s="288"/>
      <c r="AB29" s="276"/>
    </row>
    <row r="30" spans="3:28" s="265" customFormat="1" ht="1.5" customHeight="1">
      <c r="C30" s="260"/>
      <c r="D30" s="260"/>
      <c r="E30" s="260"/>
      <c r="F30" s="260"/>
      <c r="G30" s="287"/>
      <c r="H30" s="334"/>
      <c r="I30" s="287"/>
      <c r="J30" s="334"/>
      <c r="K30" s="287"/>
      <c r="L30" s="286"/>
      <c r="M30" s="287"/>
      <c r="N30" s="334"/>
      <c r="O30" s="287"/>
      <c r="P30" s="286"/>
      <c r="Q30" s="287"/>
      <c r="R30" s="286"/>
      <c r="S30" s="287"/>
      <c r="T30" s="286"/>
      <c r="U30" s="287"/>
      <c r="V30" s="286"/>
      <c r="W30" s="287"/>
      <c r="X30" s="286"/>
      <c r="Y30" s="287"/>
      <c r="Z30" s="286"/>
      <c r="AA30" s="288"/>
      <c r="AB30" s="276"/>
    </row>
    <row r="31" spans="2:28" s="265" customFormat="1" ht="12.75" customHeight="1">
      <c r="B31" s="266" t="s">
        <v>240</v>
      </c>
      <c r="C31" s="260"/>
      <c r="D31" s="260"/>
      <c r="E31" s="260"/>
      <c r="F31" s="260"/>
      <c r="G31" s="287"/>
      <c r="H31" s="334"/>
      <c r="I31" s="287"/>
      <c r="J31" s="334"/>
      <c r="K31" s="287"/>
      <c r="L31" s="286"/>
      <c r="M31" s="287"/>
      <c r="N31" s="334"/>
      <c r="O31" s="287"/>
      <c r="P31" s="286"/>
      <c r="Q31" s="287"/>
      <c r="R31" s="286"/>
      <c r="S31" s="287"/>
      <c r="T31" s="286"/>
      <c r="U31" s="287"/>
      <c r="V31" s="286"/>
      <c r="W31" s="287"/>
      <c r="X31" s="286"/>
      <c r="Y31" s="287"/>
      <c r="Z31" s="286"/>
      <c r="AA31" s="288"/>
      <c r="AB31" s="276"/>
    </row>
    <row r="32" spans="1:28" s="265" customFormat="1" ht="5.25" customHeight="1">
      <c r="A32" s="335"/>
      <c r="B32" s="335"/>
      <c r="C32" s="335"/>
      <c r="D32" s="335"/>
      <c r="E32" s="335"/>
      <c r="F32" s="335"/>
      <c r="G32" s="285"/>
      <c r="H32" s="277"/>
      <c r="I32" s="285"/>
      <c r="J32" s="277"/>
      <c r="K32" s="285"/>
      <c r="L32" s="336"/>
      <c r="M32" s="285"/>
      <c r="N32" s="277"/>
      <c r="O32" s="285"/>
      <c r="P32" s="336"/>
      <c r="Q32" s="285"/>
      <c r="R32" s="336"/>
      <c r="S32" s="285"/>
      <c r="T32" s="336"/>
      <c r="U32" s="285"/>
      <c r="V32" s="336"/>
      <c r="W32" s="285"/>
      <c r="X32" s="286"/>
      <c r="Z32" s="287"/>
      <c r="AA32" s="288"/>
      <c r="AB32" s="276"/>
    </row>
    <row r="33" spans="1:35" s="265" customFormat="1" ht="9" customHeight="1">
      <c r="A33" s="277"/>
      <c r="B33" s="337" t="s">
        <v>241</v>
      </c>
      <c r="C33" s="298"/>
      <c r="D33" s="298"/>
      <c r="E33" s="298"/>
      <c r="F33" s="298"/>
      <c r="G33" s="298"/>
      <c r="H33" s="292"/>
      <c r="I33" s="291"/>
      <c r="J33" s="292"/>
      <c r="K33" s="291"/>
      <c r="L33" s="293"/>
      <c r="M33" s="291"/>
      <c r="N33" s="292"/>
      <c r="O33" s="291"/>
      <c r="P33" s="293"/>
      <c r="Q33" s="291"/>
      <c r="R33" s="293"/>
      <c r="S33" s="291"/>
      <c r="T33" s="293"/>
      <c r="U33" s="291"/>
      <c r="V33" s="293"/>
      <c r="W33" s="285"/>
      <c r="X33" s="286"/>
      <c r="Y33" s="287"/>
      <c r="Z33" s="286"/>
      <c r="AA33" s="288"/>
      <c r="AB33" s="276"/>
      <c r="AE33" s="274"/>
      <c r="AF33" s="316"/>
      <c r="AG33" s="316"/>
      <c r="AH33" s="316"/>
      <c r="AI33" s="316"/>
    </row>
    <row r="34" spans="1:35" s="265" customFormat="1" ht="9" customHeight="1">
      <c r="A34" s="277"/>
      <c r="B34" s="298"/>
      <c r="C34" s="578" t="str">
        <f>'Inc &amp; Exp'!E13</f>
        <v>Rent (£ per week)</v>
      </c>
      <c r="D34" s="578"/>
      <c r="E34" s="578"/>
      <c r="F34" s="578"/>
      <c r="G34" s="579" t="str">
        <f>'Inc &amp; Exp'!F13</f>
        <v># of rooms</v>
      </c>
      <c r="H34" s="579"/>
      <c r="I34" s="579"/>
      <c r="J34" s="579"/>
      <c r="K34" s="579" t="str">
        <f>'Inc &amp; Exp'!G13</f>
        <v>Yearly</v>
      </c>
      <c r="L34" s="579"/>
      <c r="M34" s="579"/>
      <c r="N34" s="579"/>
      <c r="O34" s="579" t="str">
        <f>'Inc &amp; Exp'!H13</f>
        <v>Monthly</v>
      </c>
      <c r="P34" s="579"/>
      <c r="Q34" s="579"/>
      <c r="R34" s="579"/>
      <c r="S34" s="579" t="str">
        <f>'Inc &amp; Exp'!I13</f>
        <v>Weekly</v>
      </c>
      <c r="T34" s="579"/>
      <c r="U34" s="579"/>
      <c r="V34" s="579"/>
      <c r="W34" s="285"/>
      <c r="X34" s="286"/>
      <c r="Y34" s="287"/>
      <c r="Z34" s="286"/>
      <c r="AA34" s="288"/>
      <c r="AB34" s="276"/>
      <c r="AE34" s="274"/>
      <c r="AF34" s="338"/>
      <c r="AG34" s="339"/>
      <c r="AH34" s="339"/>
      <c r="AI34" s="339"/>
    </row>
    <row r="35" spans="1:35" s="265" customFormat="1" ht="9" customHeight="1">
      <c r="A35" s="277"/>
      <c r="B35" s="340" t="str">
        <f>'Inc &amp; Exp'!D14</f>
        <v>Rent level 1</v>
      </c>
      <c r="C35" s="580">
        <f>'Inc &amp; Exp'!E14</f>
        <v>0</v>
      </c>
      <c r="D35" s="580"/>
      <c r="E35" s="580"/>
      <c r="F35" s="580"/>
      <c r="G35" s="581">
        <f>'Inc &amp; Exp'!F14</f>
        <v>1</v>
      </c>
      <c r="H35" s="581"/>
      <c r="I35" s="581"/>
      <c r="J35" s="581"/>
      <c r="K35" s="582">
        <f>'Inc &amp; Exp'!G14</f>
        <v>0</v>
      </c>
      <c r="L35" s="582"/>
      <c r="M35" s="582"/>
      <c r="N35" s="582"/>
      <c r="O35" s="582">
        <f>'Inc &amp; Exp'!H14</f>
        <v>0</v>
      </c>
      <c r="P35" s="582"/>
      <c r="Q35" s="582"/>
      <c r="R35" s="582"/>
      <c r="S35" s="582">
        <f>'Inc &amp; Exp'!I14</f>
        <v>0</v>
      </c>
      <c r="T35" s="582"/>
      <c r="U35" s="582"/>
      <c r="V35" s="582"/>
      <c r="W35" s="285"/>
      <c r="X35" s="286"/>
      <c r="Y35" s="287"/>
      <c r="Z35" s="286"/>
      <c r="AA35" s="288"/>
      <c r="AB35" s="276"/>
      <c r="AE35" s="274"/>
      <c r="AF35" s="338"/>
      <c r="AG35" s="339"/>
      <c r="AH35" s="339"/>
      <c r="AI35" s="339"/>
    </row>
    <row r="36" spans="1:35" s="265" customFormat="1" ht="9" customHeight="1">
      <c r="A36" s="277"/>
      <c r="B36" s="340" t="str">
        <f>'Inc &amp; Exp'!D15</f>
        <v>Rent level 2</v>
      </c>
      <c r="C36" s="580">
        <f>'Inc &amp; Exp'!E15</f>
        <v>0</v>
      </c>
      <c r="D36" s="580"/>
      <c r="E36" s="580"/>
      <c r="F36" s="580"/>
      <c r="G36" s="581">
        <f>'Inc &amp; Exp'!F15</f>
        <v>0</v>
      </c>
      <c r="H36" s="581"/>
      <c r="I36" s="581"/>
      <c r="J36" s="581"/>
      <c r="K36" s="582">
        <f>'Inc &amp; Exp'!G15</f>
        <v>0</v>
      </c>
      <c r="L36" s="582"/>
      <c r="M36" s="582"/>
      <c r="N36" s="582"/>
      <c r="O36" s="582">
        <f>'Inc &amp; Exp'!H15</f>
        <v>0</v>
      </c>
      <c r="P36" s="582"/>
      <c r="Q36" s="582"/>
      <c r="R36" s="582"/>
      <c r="S36" s="582">
        <f>'Inc &amp; Exp'!I15</f>
        <v>0</v>
      </c>
      <c r="T36" s="582"/>
      <c r="U36" s="582"/>
      <c r="V36" s="582"/>
      <c r="W36" s="285"/>
      <c r="X36" s="286"/>
      <c r="Y36" s="287"/>
      <c r="Z36" s="286"/>
      <c r="AA36" s="288"/>
      <c r="AB36" s="276"/>
      <c r="AE36" s="274"/>
      <c r="AF36" s="338"/>
      <c r="AG36" s="339"/>
      <c r="AH36" s="339"/>
      <c r="AI36" s="339"/>
    </row>
    <row r="37" spans="1:35" s="265" customFormat="1" ht="9" customHeight="1">
      <c r="A37" s="277"/>
      <c r="B37" s="340" t="str">
        <f>'Inc &amp; Exp'!D16</f>
        <v>Rent level 3</v>
      </c>
      <c r="C37" s="580">
        <f>'Inc &amp; Exp'!E16</f>
        <v>0</v>
      </c>
      <c r="D37" s="580"/>
      <c r="E37" s="580"/>
      <c r="F37" s="580"/>
      <c r="G37" s="581">
        <f>'Inc &amp; Exp'!F16</f>
        <v>0</v>
      </c>
      <c r="H37" s="581"/>
      <c r="I37" s="581"/>
      <c r="J37" s="581"/>
      <c r="K37" s="582">
        <f>'Inc &amp; Exp'!G16</f>
        <v>0</v>
      </c>
      <c r="L37" s="582"/>
      <c r="M37" s="582"/>
      <c r="N37" s="582"/>
      <c r="O37" s="582">
        <f>'Inc &amp; Exp'!H16</f>
        <v>0</v>
      </c>
      <c r="P37" s="582"/>
      <c r="Q37" s="582"/>
      <c r="R37" s="582"/>
      <c r="S37" s="582">
        <f>'Inc &amp; Exp'!I16</f>
        <v>0</v>
      </c>
      <c r="T37" s="582"/>
      <c r="U37" s="582"/>
      <c r="V37" s="582"/>
      <c r="W37" s="285"/>
      <c r="X37" s="286"/>
      <c r="Y37" s="287"/>
      <c r="Z37" s="286"/>
      <c r="AA37" s="288"/>
      <c r="AB37" s="276"/>
      <c r="AE37" s="274"/>
      <c r="AF37" s="338"/>
      <c r="AG37" s="339"/>
      <c r="AH37" s="339"/>
      <c r="AI37" s="339"/>
    </row>
    <row r="38" spans="1:33" s="265" customFormat="1" ht="9" customHeight="1">
      <c r="A38" s="277"/>
      <c r="B38" s="340" t="str">
        <f>'Inc &amp; Exp'!D17</f>
        <v>Rent level 4</v>
      </c>
      <c r="C38" s="580">
        <f>'Inc &amp; Exp'!E17</f>
        <v>0</v>
      </c>
      <c r="D38" s="580"/>
      <c r="E38" s="580"/>
      <c r="F38" s="580"/>
      <c r="G38" s="581">
        <f>'Inc &amp; Exp'!F17</f>
        <v>0</v>
      </c>
      <c r="H38" s="581"/>
      <c r="I38" s="581"/>
      <c r="J38" s="581"/>
      <c r="K38" s="582">
        <f>'Inc &amp; Exp'!G17</f>
        <v>0</v>
      </c>
      <c r="L38" s="582"/>
      <c r="M38" s="582"/>
      <c r="N38" s="582"/>
      <c r="O38" s="582">
        <f>'Inc &amp; Exp'!H17</f>
        <v>0</v>
      </c>
      <c r="P38" s="582"/>
      <c r="Q38" s="582"/>
      <c r="R38" s="582"/>
      <c r="S38" s="582">
        <f>'Inc &amp; Exp'!I17</f>
        <v>0</v>
      </c>
      <c r="T38" s="582"/>
      <c r="U38" s="582"/>
      <c r="V38" s="582"/>
      <c r="W38" s="285"/>
      <c r="X38" s="286"/>
      <c r="Y38" s="287"/>
      <c r="Z38" s="286"/>
      <c r="AA38" s="288"/>
      <c r="AB38" s="276"/>
      <c r="AE38" s="274"/>
      <c r="AF38" s="341"/>
      <c r="AG38" s="339"/>
    </row>
    <row r="39" spans="1:35" s="265" customFormat="1" ht="9" customHeight="1">
      <c r="A39" s="277"/>
      <c r="B39" s="583" t="str">
        <f>'Inc &amp; Exp'!E18</f>
        <v>total rent incomes &gt;&gt;</v>
      </c>
      <c r="C39" s="583"/>
      <c r="D39" s="583"/>
      <c r="E39" s="583"/>
      <c r="F39" s="583"/>
      <c r="G39" s="581">
        <f>'Inc &amp; Exp'!F18</f>
        <v>1</v>
      </c>
      <c r="H39" s="581"/>
      <c r="I39" s="581"/>
      <c r="J39" s="581"/>
      <c r="K39" s="584"/>
      <c r="L39" s="584"/>
      <c r="M39" s="584"/>
      <c r="N39" s="584"/>
      <c r="O39" s="584"/>
      <c r="P39" s="584"/>
      <c r="Q39" s="584"/>
      <c r="R39" s="584"/>
      <c r="S39" s="584"/>
      <c r="T39" s="584"/>
      <c r="U39" s="584"/>
      <c r="V39" s="584"/>
      <c r="W39" s="285"/>
      <c r="X39" s="286"/>
      <c r="Y39" s="287"/>
      <c r="Z39" s="286"/>
      <c r="AA39" s="288"/>
      <c r="AB39" s="276"/>
      <c r="AE39" s="274"/>
      <c r="AF39" s="342"/>
      <c r="AG39" s="343"/>
      <c r="AH39" s="344"/>
      <c r="AI39" s="344"/>
    </row>
    <row r="40" spans="1:33" s="265" customFormat="1" ht="9" customHeight="1">
      <c r="A40" s="277"/>
      <c r="B40" s="583" t="str">
        <f>'Inc &amp; Exp'!F21</f>
        <v>Maximum Total Income per period &gt;&gt; </v>
      </c>
      <c r="C40" s="583"/>
      <c r="D40" s="583"/>
      <c r="E40" s="583"/>
      <c r="F40" s="583"/>
      <c r="G40" s="583"/>
      <c r="H40" s="583"/>
      <c r="I40" s="583"/>
      <c r="J40" s="583"/>
      <c r="K40" s="585">
        <f>'Inc &amp; Exp'!G21</f>
        <v>0</v>
      </c>
      <c r="L40" s="585"/>
      <c r="M40" s="585"/>
      <c r="N40" s="585"/>
      <c r="O40" s="585">
        <f>'Inc &amp; Exp'!H21</f>
        <v>0</v>
      </c>
      <c r="P40" s="585"/>
      <c r="Q40" s="585"/>
      <c r="R40" s="585"/>
      <c r="S40" s="585">
        <f>'Inc &amp; Exp'!I21</f>
        <v>0</v>
      </c>
      <c r="T40" s="585"/>
      <c r="U40" s="585"/>
      <c r="V40" s="585"/>
      <c r="W40" s="285"/>
      <c r="X40" s="286"/>
      <c r="Y40" s="287"/>
      <c r="Z40" s="286"/>
      <c r="AA40" s="288"/>
      <c r="AB40" s="276"/>
      <c r="AE40" s="274"/>
      <c r="AG40" s="339"/>
    </row>
    <row r="41" spans="1:33" s="265" customFormat="1" ht="5.25" customHeight="1">
      <c r="A41" s="277"/>
      <c r="B41" s="279"/>
      <c r="C41" s="279"/>
      <c r="D41" s="279"/>
      <c r="E41" s="279"/>
      <c r="F41" s="279"/>
      <c r="G41" s="279"/>
      <c r="H41" s="279"/>
      <c r="I41" s="279"/>
      <c r="J41" s="279"/>
      <c r="K41" s="345"/>
      <c r="L41" s="345"/>
      <c r="M41" s="345"/>
      <c r="N41" s="345"/>
      <c r="O41" s="345"/>
      <c r="P41" s="345"/>
      <c r="Q41" s="345"/>
      <c r="R41" s="345"/>
      <c r="S41" s="345"/>
      <c r="T41" s="345"/>
      <c r="U41" s="345"/>
      <c r="V41" s="345"/>
      <c r="W41" s="285"/>
      <c r="X41" s="286"/>
      <c r="Y41" s="287"/>
      <c r="Z41" s="286"/>
      <c r="AA41" s="288"/>
      <c r="AB41" s="276"/>
      <c r="AE41" s="274"/>
      <c r="AG41" s="339"/>
    </row>
    <row r="42" spans="1:35" s="265" customFormat="1" ht="5.25" customHeight="1">
      <c r="A42" s="346"/>
      <c r="B42" s="307"/>
      <c r="C42" s="307"/>
      <c r="D42" s="312"/>
      <c r="E42" s="312"/>
      <c r="F42" s="312"/>
      <c r="G42" s="312"/>
      <c r="H42" s="312"/>
      <c r="I42" s="311"/>
      <c r="J42" s="312"/>
      <c r="K42" s="312"/>
      <c r="L42" s="312"/>
      <c r="M42" s="312"/>
      <c r="N42" s="312"/>
      <c r="O42" s="312"/>
      <c r="P42" s="312"/>
      <c r="Q42" s="311"/>
      <c r="R42" s="313"/>
      <c r="S42" s="311"/>
      <c r="T42" s="313"/>
      <c r="U42" s="311"/>
      <c r="V42" s="313"/>
      <c r="W42" s="315"/>
      <c r="X42" s="286"/>
      <c r="Y42" s="287"/>
      <c r="Z42" s="286"/>
      <c r="AA42" s="288"/>
      <c r="AB42" s="276"/>
      <c r="AE42" s="274"/>
      <c r="AG42" s="347"/>
      <c r="AH42" s="316"/>
      <c r="AI42" s="316"/>
    </row>
    <row r="43" spans="1:35" s="265" customFormat="1" ht="9" customHeight="1">
      <c r="A43" s="346"/>
      <c r="B43" s="337" t="s">
        <v>242</v>
      </c>
      <c r="C43" s="298"/>
      <c r="D43" s="271"/>
      <c r="E43" s="271"/>
      <c r="F43" s="271"/>
      <c r="G43" s="586"/>
      <c r="H43" s="586"/>
      <c r="I43" s="586"/>
      <c r="J43" s="586"/>
      <c r="K43" s="579"/>
      <c r="L43" s="579"/>
      <c r="M43" s="579"/>
      <c r="N43" s="579"/>
      <c r="O43" s="579"/>
      <c r="P43" s="579"/>
      <c r="Q43" s="579"/>
      <c r="R43" s="579"/>
      <c r="S43" s="587"/>
      <c r="T43" s="587"/>
      <c r="U43" s="587"/>
      <c r="V43" s="587"/>
      <c r="W43" s="315"/>
      <c r="X43" s="286"/>
      <c r="Y43" s="287"/>
      <c r="Z43" s="286"/>
      <c r="AA43" s="288"/>
      <c r="AB43" s="276"/>
      <c r="AE43" s="274"/>
      <c r="AF43" s="349"/>
      <c r="AG43" s="350"/>
      <c r="AH43" s="351"/>
      <c r="AI43" s="351"/>
    </row>
    <row r="44" spans="1:35" s="265" customFormat="1" ht="9" customHeight="1">
      <c r="A44" s="346"/>
      <c r="B44" s="337"/>
      <c r="C44" s="298"/>
      <c r="D44" s="271"/>
      <c r="E44" s="271"/>
      <c r="F44" s="271"/>
      <c r="G44" s="348"/>
      <c r="H44" s="348"/>
      <c r="I44" s="348"/>
      <c r="J44" s="348"/>
      <c r="K44" s="579" t="str">
        <f>'Inc &amp; Exp'!G24</f>
        <v>Yearly</v>
      </c>
      <c r="L44" s="579"/>
      <c r="M44" s="579"/>
      <c r="N44" s="579"/>
      <c r="O44" s="579" t="str">
        <f>'Inc &amp; Exp'!H24</f>
        <v>Monthly</v>
      </c>
      <c r="P44" s="579"/>
      <c r="Q44" s="579"/>
      <c r="R44" s="579"/>
      <c r="S44" s="587" t="str">
        <f>'Inc &amp; Exp'!I24</f>
        <v>Weekly</v>
      </c>
      <c r="T44" s="587"/>
      <c r="U44" s="587"/>
      <c r="V44" s="587"/>
      <c r="W44" s="315"/>
      <c r="X44" s="286"/>
      <c r="Y44" s="287"/>
      <c r="Z44" s="286"/>
      <c r="AA44" s="288"/>
      <c r="AB44" s="276"/>
      <c r="AE44" s="274"/>
      <c r="AF44" s="349"/>
      <c r="AG44" s="350"/>
      <c r="AH44" s="351"/>
      <c r="AI44" s="351"/>
    </row>
    <row r="45" spans="1:35" s="265" customFormat="1" ht="9" customHeight="1">
      <c r="A45" s="346"/>
      <c r="B45" s="564" t="str">
        <f>'Inc &amp; Exp'!D25</f>
        <v>Voids</v>
      </c>
      <c r="C45" s="564"/>
      <c r="D45" s="564"/>
      <c r="E45" s="564"/>
      <c r="F45" s="564"/>
      <c r="G45" s="588">
        <f>'Inc &amp; Exp'!F25</f>
        <v>0.1</v>
      </c>
      <c r="H45" s="588"/>
      <c r="I45" s="588"/>
      <c r="J45" s="588"/>
      <c r="K45" s="589">
        <f>'Inc &amp; Exp'!G25</f>
        <v>0</v>
      </c>
      <c r="L45" s="589"/>
      <c r="M45" s="589"/>
      <c r="N45" s="589"/>
      <c r="O45" s="589">
        <f>'Inc &amp; Exp'!H25</f>
        <v>0</v>
      </c>
      <c r="P45" s="589"/>
      <c r="Q45" s="589"/>
      <c r="R45" s="589"/>
      <c r="S45" s="565">
        <f>'Inc &amp; Exp'!I25</f>
        <v>0</v>
      </c>
      <c r="T45" s="565"/>
      <c r="U45" s="565"/>
      <c r="V45" s="565"/>
      <c r="W45" s="315"/>
      <c r="X45" s="286"/>
      <c r="Y45" s="287"/>
      <c r="Z45" s="286"/>
      <c r="AA45" s="288"/>
      <c r="AB45" s="276"/>
      <c r="AE45" s="274"/>
      <c r="AF45" s="352"/>
      <c r="AG45" s="353"/>
      <c r="AH45" s="351"/>
      <c r="AI45" s="351"/>
    </row>
    <row r="46" spans="1:35" s="265" customFormat="1" ht="9" customHeight="1">
      <c r="A46" s="346"/>
      <c r="B46" s="564" t="str">
        <f>'Inc &amp; Exp'!D26</f>
        <v>House insurance</v>
      </c>
      <c r="C46" s="564"/>
      <c r="D46" s="564"/>
      <c r="E46" s="564"/>
      <c r="F46" s="564"/>
      <c r="G46" s="590">
        <f>IF('Inc &amp; Exp'!F26&lt;&gt;0,'Inc &amp; Exp'!F26,"")</f>
      </c>
      <c r="H46" s="590"/>
      <c r="I46" s="590"/>
      <c r="J46" s="590"/>
      <c r="K46" s="589">
        <f>'Inc &amp; Exp'!G26</f>
        <v>0</v>
      </c>
      <c r="L46" s="589"/>
      <c r="M46" s="589"/>
      <c r="N46" s="589"/>
      <c r="O46" s="589">
        <f>'Inc &amp; Exp'!H26</f>
        <v>0</v>
      </c>
      <c r="P46" s="589"/>
      <c r="Q46" s="589"/>
      <c r="R46" s="589"/>
      <c r="S46" s="565">
        <f>'Inc &amp; Exp'!I26</f>
        <v>0</v>
      </c>
      <c r="T46" s="565"/>
      <c r="U46" s="565"/>
      <c r="V46" s="565"/>
      <c r="W46" s="315"/>
      <c r="X46" s="286"/>
      <c r="Y46" s="287"/>
      <c r="Z46" s="286"/>
      <c r="AA46" s="288"/>
      <c r="AB46" s="276"/>
      <c r="AE46" s="274"/>
      <c r="AF46" s="352"/>
      <c r="AG46" s="353"/>
      <c r="AH46" s="351"/>
      <c r="AI46" s="351"/>
    </row>
    <row r="47" spans="1:35" s="265" customFormat="1" ht="9" customHeight="1">
      <c r="A47" s="346"/>
      <c r="B47" s="564" t="str">
        <f>'Inc &amp; Exp'!D28</f>
        <v>Accountant</v>
      </c>
      <c r="C47" s="564"/>
      <c r="D47" s="564"/>
      <c r="E47" s="564"/>
      <c r="F47" s="564"/>
      <c r="G47" s="590">
        <f>IF('Inc &amp; Exp'!F28&lt;&gt;0,'Inc &amp; Exp'!F28,"")</f>
      </c>
      <c r="H47" s="590"/>
      <c r="I47" s="590"/>
      <c r="J47" s="590"/>
      <c r="K47" s="589">
        <f>'Inc &amp; Exp'!G28</f>
        <v>0</v>
      </c>
      <c r="L47" s="589"/>
      <c r="M47" s="589"/>
      <c r="N47" s="589"/>
      <c r="O47" s="589">
        <f>'Inc &amp; Exp'!H28</f>
        <v>0</v>
      </c>
      <c r="P47" s="589"/>
      <c r="Q47" s="589"/>
      <c r="R47" s="589"/>
      <c r="S47" s="565">
        <f>'Inc &amp; Exp'!I28</f>
        <v>0</v>
      </c>
      <c r="T47" s="565"/>
      <c r="U47" s="565"/>
      <c r="V47" s="565"/>
      <c r="W47" s="315"/>
      <c r="X47" s="286"/>
      <c r="Y47" s="287"/>
      <c r="Z47" s="286"/>
      <c r="AA47" s="288"/>
      <c r="AB47" s="276"/>
      <c r="AE47" s="274"/>
      <c r="AF47" s="352"/>
      <c r="AG47" s="353"/>
      <c r="AH47" s="351"/>
      <c r="AI47" s="351"/>
    </row>
    <row r="48" spans="1:35" s="265" customFormat="1" ht="9" customHeight="1">
      <c r="A48" s="346"/>
      <c r="B48" s="564" t="str">
        <f>'Inc &amp; Exp'!D27</f>
        <v>Maintenance</v>
      </c>
      <c r="C48" s="564"/>
      <c r="D48" s="564"/>
      <c r="E48" s="564"/>
      <c r="F48" s="564"/>
      <c r="G48" s="590" t="str">
        <f>IF('Inc &amp; Exp'!F27&lt;&gt;0,'Inc &amp; Exp'!F27,"")</f>
        <v>estimated</v>
      </c>
      <c r="H48" s="590"/>
      <c r="I48" s="590"/>
      <c r="J48" s="590"/>
      <c r="K48" s="589">
        <f>'Inc &amp; Exp'!G27</f>
        <v>1200</v>
      </c>
      <c r="L48" s="589"/>
      <c r="M48" s="589"/>
      <c r="N48" s="589"/>
      <c r="O48" s="589">
        <f>'Inc &amp; Exp'!H27</f>
        <v>100</v>
      </c>
      <c r="P48" s="589"/>
      <c r="Q48" s="589"/>
      <c r="R48" s="589"/>
      <c r="S48" s="565">
        <f>'Inc &amp; Exp'!I27</f>
        <v>22.988505747126435</v>
      </c>
      <c r="T48" s="565"/>
      <c r="U48" s="565"/>
      <c r="V48" s="565"/>
      <c r="W48" s="315"/>
      <c r="X48" s="286"/>
      <c r="Y48" s="287"/>
      <c r="Z48" s="286"/>
      <c r="AA48" s="288"/>
      <c r="AB48" s="276"/>
      <c r="AE48" s="274"/>
      <c r="AF48" s="352"/>
      <c r="AG48" s="353"/>
      <c r="AH48" s="351"/>
      <c r="AI48" s="351"/>
    </row>
    <row r="49" spans="1:35" s="265" customFormat="1" ht="9" customHeight="1">
      <c r="A49" s="346"/>
      <c r="B49" s="564" t="str">
        <f>'Inc &amp; Exp'!D31</f>
        <v>Council tax</v>
      </c>
      <c r="C49" s="564"/>
      <c r="D49" s="564"/>
      <c r="E49" s="564"/>
      <c r="F49" s="564"/>
      <c r="G49" s="590">
        <f>IF('Inc &amp; Exp'!F31&lt;&gt;0,'Inc &amp; Exp'!F31,"")</f>
      </c>
      <c r="H49" s="590"/>
      <c r="I49" s="590"/>
      <c r="J49" s="590"/>
      <c r="K49" s="589">
        <f>'Inc &amp; Exp'!G31</f>
        <v>0</v>
      </c>
      <c r="L49" s="589"/>
      <c r="M49" s="589"/>
      <c r="N49" s="589"/>
      <c r="O49" s="589">
        <f>'Inc &amp; Exp'!H31</f>
        <v>0</v>
      </c>
      <c r="P49" s="589"/>
      <c r="Q49" s="589"/>
      <c r="R49" s="589"/>
      <c r="S49" s="565">
        <f>'Inc &amp; Exp'!I31</f>
        <v>0</v>
      </c>
      <c r="T49" s="565"/>
      <c r="U49" s="565"/>
      <c r="V49" s="565"/>
      <c r="W49" s="315"/>
      <c r="X49" s="286"/>
      <c r="Y49" s="287"/>
      <c r="Z49" s="286"/>
      <c r="AA49" s="288"/>
      <c r="AB49" s="276"/>
      <c r="AE49" s="274"/>
      <c r="AF49" s="352"/>
      <c r="AG49" s="353"/>
      <c r="AH49" s="351"/>
      <c r="AI49" s="351"/>
    </row>
    <row r="50" spans="1:35" s="265" customFormat="1" ht="9" customHeight="1">
      <c r="A50" s="346"/>
      <c r="B50" s="564" t="str">
        <f>'Inc &amp; Exp'!D29</f>
        <v>RR Service payments</v>
      </c>
      <c r="C50" s="564"/>
      <c r="D50" s="564"/>
      <c r="E50" s="564"/>
      <c r="F50" s="564"/>
      <c r="G50" s="590">
        <f>IF('Inc &amp; Exp'!F29&lt;&gt;0,'Inc &amp; Exp'!F29,"")</f>
      </c>
      <c r="H50" s="590"/>
      <c r="I50" s="590"/>
      <c r="J50" s="590"/>
      <c r="K50" s="589">
        <f>'Inc &amp; Exp'!G29</f>
        <v>0</v>
      </c>
      <c r="L50" s="589"/>
      <c r="M50" s="589"/>
      <c r="N50" s="589"/>
      <c r="O50" s="589">
        <f>'Inc &amp; Exp'!H29</f>
        <v>0</v>
      </c>
      <c r="P50" s="589"/>
      <c r="Q50" s="589"/>
      <c r="R50" s="589"/>
      <c r="S50" s="565">
        <f>'Inc &amp; Exp'!I29</f>
        <v>0</v>
      </c>
      <c r="T50" s="565"/>
      <c r="U50" s="565"/>
      <c r="V50" s="565"/>
      <c r="W50" s="315"/>
      <c r="X50" s="286"/>
      <c r="Y50" s="287"/>
      <c r="Z50" s="286"/>
      <c r="AA50" s="288"/>
      <c r="AB50" s="276"/>
      <c r="AE50" s="274"/>
      <c r="AF50" s="352"/>
      <c r="AG50" s="353"/>
      <c r="AH50" s="351"/>
      <c r="AI50" s="351"/>
    </row>
    <row r="51" spans="1:35" s="265" customFormat="1" ht="9" customHeight="1">
      <c r="A51" s="346"/>
      <c r="B51" s="564" t="str">
        <f>'Inc &amp; Exp'!D30</f>
        <v>FCA Fee</v>
      </c>
      <c r="C51" s="564"/>
      <c r="D51" s="564"/>
      <c r="E51" s="564"/>
      <c r="F51" s="564"/>
      <c r="G51" s="590">
        <f>IF('Inc &amp; Exp'!F30&lt;&gt;0,'Inc &amp; Exp'!F30,"")</f>
      </c>
      <c r="H51" s="590"/>
      <c r="I51" s="590"/>
      <c r="J51" s="590"/>
      <c r="K51" s="589">
        <f>'Inc &amp; Exp'!G30</f>
        <v>0</v>
      </c>
      <c r="L51" s="589"/>
      <c r="M51" s="589"/>
      <c r="N51" s="589"/>
      <c r="O51" s="589">
        <f>'Inc &amp; Exp'!H30</f>
        <v>0</v>
      </c>
      <c r="P51" s="589"/>
      <c r="Q51" s="589"/>
      <c r="R51" s="589"/>
      <c r="S51" s="565">
        <f>'Inc &amp; Exp'!I30</f>
        <v>0</v>
      </c>
      <c r="T51" s="565"/>
      <c r="U51" s="565"/>
      <c r="V51" s="565"/>
      <c r="W51" s="315"/>
      <c r="X51" s="286"/>
      <c r="Y51" s="287"/>
      <c r="Z51" s="286"/>
      <c r="AA51" s="288"/>
      <c r="AB51" s="276"/>
      <c r="AE51" s="274"/>
      <c r="AF51" s="352"/>
      <c r="AG51" s="353"/>
      <c r="AH51" s="351"/>
      <c r="AI51" s="351"/>
    </row>
    <row r="52" spans="1:33" s="265" customFormat="1" ht="9" customHeight="1">
      <c r="A52" s="346"/>
      <c r="B52" s="564" t="str">
        <f>'Inc &amp; Exp'!D32</f>
        <v>Other</v>
      </c>
      <c r="C52" s="564"/>
      <c r="D52" s="564"/>
      <c r="E52" s="564"/>
      <c r="F52" s="564"/>
      <c r="G52" s="590">
        <f>IF('Inc &amp; Exp'!F32&lt;&gt;0,'Inc &amp; Exp'!F32,"")</f>
      </c>
      <c r="H52" s="590"/>
      <c r="I52" s="590"/>
      <c r="J52" s="590"/>
      <c r="K52" s="589">
        <f>'Inc &amp; Exp'!G32</f>
        <v>0</v>
      </c>
      <c r="L52" s="589"/>
      <c r="M52" s="589"/>
      <c r="N52" s="589"/>
      <c r="O52" s="589">
        <f>'Inc &amp; Exp'!H32</f>
        <v>0</v>
      </c>
      <c r="P52" s="589"/>
      <c r="Q52" s="589"/>
      <c r="R52" s="589"/>
      <c r="S52" s="565">
        <f>'Inc &amp; Exp'!I32</f>
        <v>0</v>
      </c>
      <c r="T52" s="565"/>
      <c r="U52" s="565"/>
      <c r="V52" s="565"/>
      <c r="W52" s="315"/>
      <c r="X52" s="286"/>
      <c r="Y52" s="287"/>
      <c r="Z52" s="286"/>
      <c r="AA52" s="288"/>
      <c r="AB52" s="276"/>
      <c r="AE52" s="274"/>
      <c r="AG52" s="339"/>
    </row>
    <row r="53" spans="1:33" s="265" customFormat="1" ht="9" customHeight="1">
      <c r="A53" s="346"/>
      <c r="B53" s="564"/>
      <c r="C53" s="564"/>
      <c r="D53" s="564"/>
      <c r="E53" s="564"/>
      <c r="F53" s="564"/>
      <c r="G53" s="590">
        <f>IF('Inc &amp; Exp'!F34&lt;&gt;0,'Inc &amp; Exp'!F34,"")</f>
      </c>
      <c r="H53" s="590"/>
      <c r="I53" s="590"/>
      <c r="J53" s="590"/>
      <c r="K53" s="589"/>
      <c r="L53" s="589"/>
      <c r="M53" s="589"/>
      <c r="N53" s="589"/>
      <c r="O53" s="589"/>
      <c r="P53" s="589"/>
      <c r="Q53" s="589"/>
      <c r="R53" s="589"/>
      <c r="S53" s="565"/>
      <c r="T53" s="565"/>
      <c r="U53" s="565"/>
      <c r="V53" s="565"/>
      <c r="W53" s="315"/>
      <c r="X53" s="286"/>
      <c r="Y53" s="287"/>
      <c r="Z53" s="286"/>
      <c r="AA53" s="288"/>
      <c r="AB53" s="276"/>
      <c r="AE53" s="274"/>
      <c r="AG53" s="339"/>
    </row>
    <row r="54" spans="1:33" s="265" customFormat="1" ht="9" customHeight="1">
      <c r="A54" s="346"/>
      <c r="B54" s="564" t="str">
        <f>'Inc &amp; Exp'!D35</f>
        <v>EBS Mortgage</v>
      </c>
      <c r="C54" s="564"/>
      <c r="D54" s="564"/>
      <c r="E54" s="564"/>
      <c r="F54" s="564"/>
      <c r="G54" s="590">
        <f>IF('Inc &amp; Exp'!F35&lt;&gt;0,'Inc &amp; Exp'!F35,"")</f>
      </c>
      <c r="H54" s="590"/>
      <c r="I54" s="590"/>
      <c r="J54" s="590"/>
      <c r="K54" s="589">
        <f>'Inc &amp; Exp'!G35</f>
        <v>7002.874277322635</v>
      </c>
      <c r="L54" s="589"/>
      <c r="M54" s="589"/>
      <c r="N54" s="589"/>
      <c r="O54" s="589">
        <f>'Inc &amp; Exp'!H35</f>
        <v>583.572856443553</v>
      </c>
      <c r="P54" s="589"/>
      <c r="Q54" s="589"/>
      <c r="R54" s="589"/>
      <c r="S54" s="565">
        <f>'Inc &amp; Exp'!I35</f>
        <v>134.15467964219607</v>
      </c>
      <c r="T54" s="565"/>
      <c r="U54" s="565"/>
      <c r="V54" s="565"/>
      <c r="W54" s="315"/>
      <c r="X54" s="286"/>
      <c r="Y54" s="287"/>
      <c r="Z54" s="286"/>
      <c r="AA54" s="288"/>
      <c r="AB54" s="276"/>
      <c r="AE54" s="274"/>
      <c r="AG54" s="339"/>
    </row>
    <row r="55" spans="1:33" s="265" customFormat="1" ht="9" customHeight="1">
      <c r="A55" s="346"/>
      <c r="B55" s="564" t="str">
        <f>'Inc &amp; Exp'!D36</f>
        <v>Radical Routes Loan</v>
      </c>
      <c r="C55" s="564"/>
      <c r="D55" s="564"/>
      <c r="E55" s="564"/>
      <c r="F55" s="564"/>
      <c r="G55" s="590">
        <f>IF('Inc &amp; Exp'!F36&lt;&gt;0,'Inc &amp; Exp'!F36,"")</f>
      </c>
      <c r="H55" s="590"/>
      <c r="I55" s="590"/>
      <c r="J55" s="590"/>
      <c r="K55" s="589">
        <f>'Inc &amp; Exp'!G36</f>
        <v>0</v>
      </c>
      <c r="L55" s="589"/>
      <c r="M55" s="589"/>
      <c r="N55" s="589"/>
      <c r="O55" s="589">
        <f>'Inc &amp; Exp'!H36</f>
        <v>0</v>
      </c>
      <c r="P55" s="589"/>
      <c r="Q55" s="589"/>
      <c r="R55" s="589"/>
      <c r="S55" s="565">
        <f>'Inc &amp; Exp'!I36</f>
        <v>0</v>
      </c>
      <c r="T55" s="565"/>
      <c r="U55" s="565"/>
      <c r="V55" s="565"/>
      <c r="W55" s="315"/>
      <c r="X55" s="286"/>
      <c r="Y55" s="287"/>
      <c r="Z55" s="286"/>
      <c r="AA55" s="288"/>
      <c r="AB55" s="276"/>
      <c r="AE55" s="274"/>
      <c r="AG55" s="339"/>
    </row>
    <row r="56" spans="1:33" s="265" customFormat="1" ht="9" customHeight="1">
      <c r="A56" s="346"/>
      <c r="B56" s="564">
        <f>'Inc &amp; Exp'!D37</f>
        <v>0</v>
      </c>
      <c r="C56" s="564"/>
      <c r="D56" s="564"/>
      <c r="E56" s="564"/>
      <c r="F56" s="564"/>
      <c r="G56" s="590">
        <f>IF('Inc &amp; Exp'!F37&lt;&gt;0,'Inc &amp; Exp'!F37,"")</f>
      </c>
      <c r="H56" s="590"/>
      <c r="I56" s="590"/>
      <c r="J56" s="590"/>
      <c r="K56" s="589">
        <f>'Inc &amp; Exp'!G37</f>
        <v>0</v>
      </c>
      <c r="L56" s="589"/>
      <c r="M56" s="589"/>
      <c r="N56" s="589"/>
      <c r="O56" s="589">
        <f>'Inc &amp; Exp'!H37</f>
        <v>0</v>
      </c>
      <c r="P56" s="589"/>
      <c r="Q56" s="589"/>
      <c r="R56" s="589"/>
      <c r="S56" s="565">
        <f>'Inc &amp; Exp'!I37</f>
        <v>0</v>
      </c>
      <c r="T56" s="565"/>
      <c r="U56" s="565"/>
      <c r="V56" s="565"/>
      <c r="W56" s="315"/>
      <c r="X56" s="286"/>
      <c r="Y56" s="287"/>
      <c r="Z56" s="286"/>
      <c r="AA56" s="288"/>
      <c r="AB56" s="276"/>
      <c r="AE56" s="274"/>
      <c r="AG56" s="339"/>
    </row>
    <row r="57" spans="1:33" s="265" customFormat="1" ht="9" customHeight="1">
      <c r="A57" s="346"/>
      <c r="B57" s="564">
        <f>'Inc &amp; Exp'!D38</f>
        <v>0</v>
      </c>
      <c r="C57" s="564"/>
      <c r="D57" s="564"/>
      <c r="E57" s="564"/>
      <c r="F57" s="564"/>
      <c r="G57" s="590">
        <f>IF('Inc &amp; Exp'!F38&lt;&gt;0,'Inc &amp; Exp'!F38,"")</f>
      </c>
      <c r="H57" s="590"/>
      <c r="I57" s="590"/>
      <c r="J57" s="590"/>
      <c r="K57" s="589">
        <f>'Inc &amp; Exp'!G38</f>
        <v>0</v>
      </c>
      <c r="L57" s="589"/>
      <c r="M57" s="589"/>
      <c r="N57" s="589"/>
      <c r="O57" s="589">
        <f>'Inc &amp; Exp'!H38</f>
        <v>0</v>
      </c>
      <c r="P57" s="589"/>
      <c r="Q57" s="589"/>
      <c r="R57" s="589"/>
      <c r="S57" s="565">
        <f>'Inc &amp; Exp'!I38</f>
        <v>0</v>
      </c>
      <c r="T57" s="565"/>
      <c r="U57" s="565"/>
      <c r="V57" s="565"/>
      <c r="W57" s="315"/>
      <c r="X57" s="286"/>
      <c r="Y57" s="287"/>
      <c r="Z57" s="286"/>
      <c r="AA57" s="288"/>
      <c r="AB57" s="276"/>
      <c r="AE57" s="274"/>
      <c r="AG57" s="339"/>
    </row>
    <row r="58" spans="1:33" s="265" customFormat="1" ht="9" customHeight="1">
      <c r="A58" s="346"/>
      <c r="B58" s="564" t="str">
        <f>'Inc &amp; Exp'!D39</f>
        <v>Set aside for loanstock</v>
      </c>
      <c r="C58" s="564"/>
      <c r="D58" s="564"/>
      <c r="E58" s="564"/>
      <c r="F58" s="564"/>
      <c r="G58" s="590">
        <f>IF('Inc &amp; Exp'!F39&lt;&gt;0,'Inc &amp; Exp'!F39,"")</f>
      </c>
      <c r="H58" s="590"/>
      <c r="I58" s="590"/>
      <c r="J58" s="590"/>
      <c r="K58" s="589">
        <f>'Inc &amp; Exp'!G39</f>
        <v>1000</v>
      </c>
      <c r="L58" s="589"/>
      <c r="M58" s="589"/>
      <c r="N58" s="589"/>
      <c r="O58" s="589">
        <f>'Inc &amp; Exp'!H39</f>
        <v>83.33333333333333</v>
      </c>
      <c r="P58" s="589"/>
      <c r="Q58" s="589"/>
      <c r="R58" s="589"/>
      <c r="S58" s="565">
        <f>'Inc &amp; Exp'!I39</f>
        <v>19.157088122605362</v>
      </c>
      <c r="T58" s="565"/>
      <c r="U58" s="565"/>
      <c r="V58" s="565"/>
      <c r="W58" s="315"/>
      <c r="X58" s="286"/>
      <c r="Y58" s="287"/>
      <c r="Z58" s="286"/>
      <c r="AA58" s="288"/>
      <c r="AB58" s="276"/>
      <c r="AE58" s="274"/>
      <c r="AG58" s="339"/>
    </row>
    <row r="59" spans="1:35" s="265" customFormat="1" ht="9" customHeight="1">
      <c r="A59" s="346"/>
      <c r="B59" s="583" t="str">
        <f>'Inc &amp; Exp'!F41</f>
        <v>Total Expenses per year &gt;&gt;</v>
      </c>
      <c r="C59" s="583"/>
      <c r="D59" s="583"/>
      <c r="E59" s="583"/>
      <c r="F59" s="583"/>
      <c r="G59" s="583"/>
      <c r="H59" s="583"/>
      <c r="I59" s="583"/>
      <c r="J59" s="583"/>
      <c r="K59" s="591">
        <f>'Inc &amp; Exp'!G41</f>
        <v>9202.874277322635</v>
      </c>
      <c r="L59" s="591"/>
      <c r="M59" s="591"/>
      <c r="N59" s="591"/>
      <c r="O59" s="591">
        <f>'Inc &amp; Exp'!H41</f>
        <v>766.9061897768863</v>
      </c>
      <c r="P59" s="591"/>
      <c r="Q59" s="591"/>
      <c r="R59" s="591"/>
      <c r="S59" s="591">
        <f>'Inc &amp; Exp'!I41</f>
        <v>176.30027351192786</v>
      </c>
      <c r="T59" s="591"/>
      <c r="U59" s="591"/>
      <c r="V59" s="591"/>
      <c r="W59" s="315"/>
      <c r="X59" s="286"/>
      <c r="Y59" s="287"/>
      <c r="Z59" s="286"/>
      <c r="AA59" s="288"/>
      <c r="AB59" s="276"/>
      <c r="AE59" s="274"/>
      <c r="AG59" s="347"/>
      <c r="AH59" s="355"/>
      <c r="AI59" s="355"/>
    </row>
    <row r="60" spans="1:35" s="265" customFormat="1" ht="4.5" customHeight="1">
      <c r="A60" s="346"/>
      <c r="B60" s="308"/>
      <c r="C60" s="308"/>
      <c r="D60" s="308"/>
      <c r="E60" s="308"/>
      <c r="F60" s="308"/>
      <c r="G60" s="308"/>
      <c r="H60" s="308"/>
      <c r="I60" s="308"/>
      <c r="J60" s="308"/>
      <c r="K60" s="356"/>
      <c r="L60" s="356"/>
      <c r="M60" s="356"/>
      <c r="N60" s="356"/>
      <c r="O60" s="356"/>
      <c r="P60" s="356"/>
      <c r="Q60" s="356"/>
      <c r="R60" s="356"/>
      <c r="S60" s="356"/>
      <c r="T60" s="356"/>
      <c r="U60" s="356"/>
      <c r="V60" s="356"/>
      <c r="W60" s="315"/>
      <c r="X60" s="286"/>
      <c r="Y60" s="287"/>
      <c r="Z60" s="286"/>
      <c r="AA60" s="288"/>
      <c r="AB60" s="276"/>
      <c r="AE60" s="274"/>
      <c r="AG60" s="347"/>
      <c r="AH60" s="355"/>
      <c r="AI60" s="355"/>
    </row>
    <row r="61" spans="1:35" s="265" customFormat="1" ht="3.75" customHeight="1">
      <c r="A61" s="332"/>
      <c r="B61" s="319"/>
      <c r="C61" s="319"/>
      <c r="D61" s="324"/>
      <c r="E61" s="324"/>
      <c r="F61" s="324"/>
      <c r="G61" s="324"/>
      <c r="H61" s="324"/>
      <c r="I61" s="323"/>
      <c r="J61" s="324"/>
      <c r="K61" s="592"/>
      <c r="L61" s="592"/>
      <c r="M61" s="592"/>
      <c r="N61" s="592"/>
      <c r="O61" s="592"/>
      <c r="P61" s="592"/>
      <c r="Q61" s="592"/>
      <c r="R61" s="592"/>
      <c r="S61" s="593"/>
      <c r="T61" s="593"/>
      <c r="U61" s="593"/>
      <c r="V61" s="593"/>
      <c r="W61" s="327"/>
      <c r="X61" s="286"/>
      <c r="Y61" s="287"/>
      <c r="Z61" s="286"/>
      <c r="AA61" s="288"/>
      <c r="AB61" s="276"/>
      <c r="AE61" s="274"/>
      <c r="AF61" s="342"/>
      <c r="AG61" s="343"/>
      <c r="AH61" s="357"/>
      <c r="AI61" s="357"/>
    </row>
    <row r="62" spans="1:28" s="265" customFormat="1" ht="9.75" customHeight="1">
      <c r="A62" s="332"/>
      <c r="B62" s="583" t="str">
        <f>'Inc &amp; Exp'!F44</f>
        <v>Ongoing Surplus &gt;&gt;</v>
      </c>
      <c r="C62" s="583"/>
      <c r="D62" s="583"/>
      <c r="E62" s="583"/>
      <c r="F62" s="583"/>
      <c r="G62" s="583"/>
      <c r="H62" s="583"/>
      <c r="I62" s="583"/>
      <c r="J62" s="583"/>
      <c r="K62" s="594">
        <f>'Inc &amp; Exp'!G44</f>
        <v>-9202.874277322635</v>
      </c>
      <c r="L62" s="594"/>
      <c r="M62" s="594"/>
      <c r="N62" s="594"/>
      <c r="O62" s="594">
        <f>'Inc &amp; Exp'!H44</f>
        <v>-766.9061897768863</v>
      </c>
      <c r="P62" s="594"/>
      <c r="Q62" s="594"/>
      <c r="R62" s="594"/>
      <c r="S62" s="595">
        <f>'Inc &amp; Exp'!I44</f>
        <v>-176.30027351192786</v>
      </c>
      <c r="T62" s="595"/>
      <c r="U62" s="595"/>
      <c r="V62" s="595"/>
      <c r="W62" s="327"/>
      <c r="X62" s="286"/>
      <c r="Y62" s="287"/>
      <c r="Z62" s="286"/>
      <c r="AA62" s="288"/>
      <c r="AB62" s="276"/>
    </row>
    <row r="63" spans="1:28" s="265" customFormat="1" ht="5.25" customHeight="1">
      <c r="A63" s="332"/>
      <c r="B63" s="319"/>
      <c r="C63" s="319"/>
      <c r="D63" s="320"/>
      <c r="E63" s="321"/>
      <c r="F63" s="322"/>
      <c r="G63" s="322"/>
      <c r="H63" s="324"/>
      <c r="I63" s="323"/>
      <c r="J63" s="324"/>
      <c r="K63" s="323"/>
      <c r="L63" s="325"/>
      <c r="M63" s="323"/>
      <c r="N63" s="324"/>
      <c r="O63" s="323"/>
      <c r="P63" s="325"/>
      <c r="Q63" s="323"/>
      <c r="R63" s="325"/>
      <c r="S63" s="323"/>
      <c r="T63" s="325"/>
      <c r="U63" s="323"/>
      <c r="V63" s="325"/>
      <c r="W63" s="327"/>
      <c r="X63" s="286"/>
      <c r="Y63" s="287"/>
      <c r="Z63" s="286"/>
      <c r="AA63" s="288"/>
      <c r="AB63" s="276"/>
    </row>
    <row r="64" ht="1.5" customHeight="1">
      <c r="B64" s="264"/>
    </row>
    <row r="65" spans="2:8" ht="13.5" customHeight="1">
      <c r="B65" s="358" t="s">
        <v>158</v>
      </c>
      <c r="H65" s="359" t="s">
        <v>243</v>
      </c>
    </row>
    <row r="66" spans="1:28" s="362" customFormat="1" ht="9" customHeight="1">
      <c r="A66" s="360"/>
      <c r="B66" s="360" t="s">
        <v>160</v>
      </c>
      <c r="C66" s="596" t="s">
        <v>244</v>
      </c>
      <c r="D66" s="596"/>
      <c r="E66" s="597" t="s">
        <v>245</v>
      </c>
      <c r="F66" s="597"/>
      <c r="G66" s="597" t="s">
        <v>246</v>
      </c>
      <c r="H66" s="597"/>
      <c r="I66" s="597" t="s">
        <v>247</v>
      </c>
      <c r="J66" s="597"/>
      <c r="K66" s="597" t="s">
        <v>248</v>
      </c>
      <c r="L66" s="597"/>
      <c r="M66" s="597" t="s">
        <v>249</v>
      </c>
      <c r="N66" s="597"/>
      <c r="O66" s="597" t="s">
        <v>250</v>
      </c>
      <c r="P66" s="597"/>
      <c r="Q66" s="597" t="s">
        <v>251</v>
      </c>
      <c r="R66" s="597"/>
      <c r="S66" s="597" t="s">
        <v>252</v>
      </c>
      <c r="T66" s="597"/>
      <c r="U66" s="597" t="s">
        <v>253</v>
      </c>
      <c r="V66" s="597"/>
      <c r="W66" s="597" t="s">
        <v>254</v>
      </c>
      <c r="X66" s="597"/>
      <c r="Y66" s="597" t="s">
        <v>255</v>
      </c>
      <c r="Z66" s="597"/>
      <c r="AA66" s="361" t="s">
        <v>256</v>
      </c>
      <c r="AB66" s="361"/>
    </row>
    <row r="67" spans="1:28" s="369" customFormat="1" ht="9" customHeight="1">
      <c r="A67" s="363"/>
      <c r="B67" s="364" t="s">
        <v>257</v>
      </c>
      <c r="C67" s="365"/>
      <c r="D67" s="366">
        <f>'Inc &amp; Exp'!G54</f>
        <v>101000</v>
      </c>
      <c r="E67" s="365"/>
      <c r="F67" s="367"/>
      <c r="G67" s="365"/>
      <c r="H67" s="367"/>
      <c r="I67" s="365"/>
      <c r="J67" s="367"/>
      <c r="K67" s="365"/>
      <c r="L67" s="367"/>
      <c r="M67" s="365"/>
      <c r="N67" s="367"/>
      <c r="O67" s="365"/>
      <c r="P67" s="367"/>
      <c r="Q67" s="365"/>
      <c r="R67" s="367"/>
      <c r="S67" s="365"/>
      <c r="T67" s="367"/>
      <c r="U67" s="365"/>
      <c r="V67" s="367"/>
      <c r="W67" s="365"/>
      <c r="X67" s="367"/>
      <c r="Y67" s="365"/>
      <c r="Z67" s="367"/>
      <c r="AA67" s="367"/>
      <c r="AB67" s="368"/>
    </row>
    <row r="68" spans="1:28" s="369" customFormat="1" ht="8.25" customHeight="1">
      <c r="A68" s="363"/>
      <c r="B68" s="370" t="s">
        <v>258</v>
      </c>
      <c r="C68" s="371" t="s">
        <v>259</v>
      </c>
      <c r="D68" s="366"/>
      <c r="E68" s="371" t="s">
        <v>259</v>
      </c>
      <c r="F68" s="366"/>
      <c r="G68" s="371" t="s">
        <v>259</v>
      </c>
      <c r="H68" s="366"/>
      <c r="I68" s="371" t="s">
        <v>259</v>
      </c>
      <c r="J68" s="366"/>
      <c r="K68" s="371" t="s">
        <v>259</v>
      </c>
      <c r="L68" s="366"/>
      <c r="M68" s="371" t="s">
        <v>259</v>
      </c>
      <c r="N68" s="366"/>
      <c r="O68" s="371" t="s">
        <v>259</v>
      </c>
      <c r="P68" s="366"/>
      <c r="Q68" s="371" t="s">
        <v>259</v>
      </c>
      <c r="R68" s="366"/>
      <c r="S68" s="371" t="s">
        <v>259</v>
      </c>
      <c r="T68" s="366"/>
      <c r="U68" s="371" t="s">
        <v>259</v>
      </c>
      <c r="V68" s="366"/>
      <c r="W68" s="371" t="s">
        <v>259</v>
      </c>
      <c r="X68" s="366"/>
      <c r="Y68" s="371" t="s">
        <v>259</v>
      </c>
      <c r="Z68" s="367"/>
      <c r="AA68" s="367"/>
      <c r="AB68" s="368"/>
    </row>
    <row r="69" spans="1:28" s="271" customFormat="1" ht="9" customHeight="1">
      <c r="A69" s="363"/>
      <c r="B69" s="340" t="str">
        <f>'Year One Breakdown '!B8</f>
        <v>Rent level 1</v>
      </c>
      <c r="C69" s="372">
        <f>IF('Year One Breakdown '!C8&lt;&gt;0,'Year One Breakdown '!C8,"")</f>
      </c>
      <c r="D69" s="373">
        <f>IF('Year One Breakdown '!D8&lt;&gt;0,'Year One Breakdown '!D8,"")</f>
      </c>
      <c r="E69" s="372">
        <f>IF('Year One Breakdown '!E8&lt;&gt;0,'Year One Breakdown '!E8,"")</f>
      </c>
      <c r="F69" s="373">
        <f>IF('Year One Breakdown '!F8&lt;&gt;0,'Year One Breakdown '!F8,"")</f>
      </c>
      <c r="G69" s="372">
        <f>IF('Year One Breakdown '!G8&lt;&gt;0,'Year One Breakdown '!G8,"")</f>
      </c>
      <c r="H69" s="373">
        <f>IF('Year One Breakdown '!H8&lt;&gt;0,'Year One Breakdown '!H8,"")</f>
      </c>
      <c r="I69" s="372">
        <f>IF('Year One Breakdown '!I8&lt;&gt;0,'Year One Breakdown '!I8,"")</f>
      </c>
      <c r="J69" s="373">
        <f>IF('Year One Breakdown '!J8&lt;&gt;0,'Year One Breakdown '!J8,"")</f>
      </c>
      <c r="K69" s="372">
        <f>IF('Year One Breakdown '!K8&lt;&gt;0,'Year One Breakdown '!K8,"")</f>
      </c>
      <c r="L69" s="373">
        <f>IF('Year One Breakdown '!L8&lt;&gt;0,'Year One Breakdown '!L8,"")</f>
      </c>
      <c r="M69" s="372">
        <f>IF('Year One Breakdown '!M8&lt;&gt;0,'Year One Breakdown '!M8,"")</f>
      </c>
      <c r="N69" s="373">
        <f>IF('Year One Breakdown '!N8&lt;&gt;0,'Year One Breakdown '!N8,"")</f>
      </c>
      <c r="O69" s="372">
        <f>IF('Year One Breakdown '!O8&lt;&gt;0,'Year One Breakdown '!O8,"")</f>
      </c>
      <c r="P69" s="373">
        <f>IF('Year One Breakdown '!P8&lt;&gt;0,'Year One Breakdown '!P8,"")</f>
      </c>
      <c r="Q69" s="372">
        <f>IF('Year One Breakdown '!Q8&lt;&gt;0,'Year One Breakdown '!Q8,"")</f>
      </c>
      <c r="R69" s="373">
        <f>IF('Year One Breakdown '!R8&lt;&gt;0,'Year One Breakdown '!R8,"")</f>
      </c>
      <c r="S69" s="372">
        <f>IF('Year One Breakdown '!S8&lt;&gt;0,'Year One Breakdown '!S8,"")</f>
      </c>
      <c r="T69" s="373">
        <f>IF('Year One Breakdown '!T8&lt;&gt;0,'Year One Breakdown '!T8,"")</f>
      </c>
      <c r="U69" s="372">
        <f>IF('Year One Breakdown '!U8&lt;&gt;0,'Year One Breakdown '!U8,"")</f>
      </c>
      <c r="V69" s="373">
        <f>IF('Year One Breakdown '!V8&lt;&gt;0,'Year One Breakdown '!V8,"")</f>
      </c>
      <c r="W69" s="372">
        <f>IF('Year One Breakdown '!W8&lt;&gt;0,'Year One Breakdown '!W8,"")</f>
      </c>
      <c r="X69" s="373">
        <f>IF('Year One Breakdown '!X8&lt;&gt;0,'Year One Breakdown '!X8,"")</f>
      </c>
      <c r="Y69" s="372">
        <f>IF('Year One Breakdown '!Y8&lt;&gt;0,'Year One Breakdown '!Y8,"")</f>
      </c>
      <c r="Z69" s="373">
        <f>IF('Year One Breakdown '!Z8&lt;&gt;0,'Year One Breakdown '!Z8,"")</f>
      </c>
      <c r="AA69" s="373">
        <f>IF('Year One Breakdown '!AA8&lt;&gt;0,'Year One Breakdown '!AA8,"")</f>
      </c>
      <c r="AB69" s="368"/>
    </row>
    <row r="70" spans="1:28" s="271" customFormat="1" ht="9" customHeight="1">
      <c r="A70" s="363"/>
      <c r="B70" s="340" t="str">
        <f>'Year One Breakdown '!B9</f>
        <v>Rent level 2</v>
      </c>
      <c r="C70" s="372">
        <f>IF('Year One Breakdown '!C9&lt;&gt;0,'Year One Breakdown '!C9,"")</f>
      </c>
      <c r="D70" s="373">
        <f>IF('Year One Breakdown '!D9&lt;&gt;0,'Year One Breakdown '!D9,"")</f>
      </c>
      <c r="E70" s="372">
        <f>IF('Year One Breakdown '!E9&lt;&gt;0,'Year One Breakdown '!E9,"")</f>
      </c>
      <c r="F70" s="373">
        <f>IF('Year One Breakdown '!F9&lt;&gt;0,'Year One Breakdown '!F9,"")</f>
      </c>
      <c r="G70" s="372">
        <f>IF('Year One Breakdown '!G9&lt;&gt;0,'Year One Breakdown '!G9,"")</f>
      </c>
      <c r="H70" s="373">
        <f>IF('Year One Breakdown '!H9&lt;&gt;0,'Year One Breakdown '!H9,"")</f>
      </c>
      <c r="I70" s="372">
        <f>IF('Year One Breakdown '!I9&lt;&gt;0,'Year One Breakdown '!I9,"")</f>
      </c>
      <c r="J70" s="373">
        <f>IF('Year One Breakdown '!J9&lt;&gt;0,'Year One Breakdown '!J9,"")</f>
      </c>
      <c r="K70" s="372">
        <f>IF('Year One Breakdown '!K9&lt;&gt;0,'Year One Breakdown '!K9,"")</f>
      </c>
      <c r="L70" s="373">
        <f>IF('Year One Breakdown '!L9&lt;&gt;0,'Year One Breakdown '!L9,"")</f>
      </c>
      <c r="M70" s="372">
        <f>IF('Year One Breakdown '!M9&lt;&gt;0,'Year One Breakdown '!M9,"")</f>
      </c>
      <c r="N70" s="373">
        <f>IF('Year One Breakdown '!N9&lt;&gt;0,'Year One Breakdown '!N9,"")</f>
      </c>
      <c r="O70" s="372">
        <f>IF('Year One Breakdown '!O9&lt;&gt;0,'Year One Breakdown '!O9,"")</f>
      </c>
      <c r="P70" s="373">
        <f>IF('Year One Breakdown '!P9&lt;&gt;0,'Year One Breakdown '!P9,"")</f>
      </c>
      <c r="Q70" s="372">
        <f>IF('Year One Breakdown '!Q9&lt;&gt;0,'Year One Breakdown '!Q9,"")</f>
      </c>
      <c r="R70" s="373">
        <f>IF('Year One Breakdown '!R9&lt;&gt;0,'Year One Breakdown '!R9,"")</f>
      </c>
      <c r="S70" s="372">
        <f>IF('Year One Breakdown '!S9&lt;&gt;0,'Year One Breakdown '!S9,"")</f>
      </c>
      <c r="T70" s="373">
        <f>IF('Year One Breakdown '!T9&lt;&gt;0,'Year One Breakdown '!T9,"")</f>
      </c>
      <c r="U70" s="372">
        <f>IF('Year One Breakdown '!U9&lt;&gt;0,'Year One Breakdown '!U9,"")</f>
      </c>
      <c r="V70" s="373">
        <f>IF('Year One Breakdown '!V9&lt;&gt;0,'Year One Breakdown '!V9,"")</f>
      </c>
      <c r="W70" s="372">
        <f>IF('Year One Breakdown '!W9&lt;&gt;0,'Year One Breakdown '!W9,"")</f>
      </c>
      <c r="X70" s="373">
        <f>IF('Year One Breakdown '!X9&lt;&gt;0,'Year One Breakdown '!X9,"")</f>
      </c>
      <c r="Y70" s="372">
        <f>IF('Year One Breakdown '!Y9&lt;&gt;0,'Year One Breakdown '!Y9,"")</f>
      </c>
      <c r="Z70" s="373">
        <f>IF('Year One Breakdown '!Z9&lt;&gt;0,'Year One Breakdown '!Z9,"")</f>
      </c>
      <c r="AA70" s="373">
        <f>IF('Year One Breakdown '!AA9&lt;&gt;0,'Year One Breakdown '!AA9,"")</f>
      </c>
      <c r="AB70" s="368"/>
    </row>
    <row r="71" spans="1:28" s="271" customFormat="1" ht="9" customHeight="1">
      <c r="A71" s="363"/>
      <c r="B71" s="340" t="str">
        <f>'Year One Breakdown '!B10</f>
        <v>Rent Level 3</v>
      </c>
      <c r="C71" s="372">
        <f>IF('Year One Breakdown '!C10&lt;&gt;0,'Year One Breakdown '!C10,"")</f>
      </c>
      <c r="D71" s="373">
        <f>IF('Year One Breakdown '!D10&lt;&gt;0,'Year One Breakdown '!D10,"")</f>
      </c>
      <c r="E71" s="372">
        <f>IF('Year One Breakdown '!E10&lt;&gt;0,'Year One Breakdown '!E10,"")</f>
      </c>
      <c r="F71" s="373">
        <f>IF('Year One Breakdown '!F10&lt;&gt;0,'Year One Breakdown '!F10,"")</f>
      </c>
      <c r="G71" s="372">
        <f>IF('Year One Breakdown '!G10&lt;&gt;0,'Year One Breakdown '!G10,"")</f>
      </c>
      <c r="H71" s="373">
        <f>IF('Year One Breakdown '!H10&lt;&gt;0,'Year One Breakdown '!H10,"")</f>
      </c>
      <c r="I71" s="372">
        <f>IF('Year One Breakdown '!I10&lt;&gt;0,'Year One Breakdown '!I10,"")</f>
      </c>
      <c r="J71" s="373">
        <f>IF('Year One Breakdown '!J10&lt;&gt;0,'Year One Breakdown '!J10,"")</f>
      </c>
      <c r="K71" s="372">
        <f>IF('Year One Breakdown '!K10&lt;&gt;0,'Year One Breakdown '!K10,"")</f>
      </c>
      <c r="L71" s="373">
        <f>IF('Year One Breakdown '!L10&lt;&gt;0,'Year One Breakdown '!L10,"")</f>
      </c>
      <c r="M71" s="372">
        <f>IF('Year One Breakdown '!M10&lt;&gt;0,'Year One Breakdown '!M10,"")</f>
      </c>
      <c r="N71" s="373">
        <f>IF('Year One Breakdown '!N10&lt;&gt;0,'Year One Breakdown '!N10,"")</f>
      </c>
      <c r="O71" s="372">
        <f>IF('Year One Breakdown '!O10&lt;&gt;0,'Year One Breakdown '!O10,"")</f>
      </c>
      <c r="P71" s="373">
        <f>IF('Year One Breakdown '!P10&lt;&gt;0,'Year One Breakdown '!P10,"")</f>
      </c>
      <c r="Q71" s="372">
        <f>IF('Year One Breakdown '!Q10&lt;&gt;0,'Year One Breakdown '!Q10,"")</f>
      </c>
      <c r="R71" s="373">
        <f>IF('Year One Breakdown '!R10&lt;&gt;0,'Year One Breakdown '!R10,"")</f>
      </c>
      <c r="S71" s="372">
        <f>IF('Year One Breakdown '!S10&lt;&gt;0,'Year One Breakdown '!S10,"")</f>
      </c>
      <c r="T71" s="373">
        <f>IF('Year One Breakdown '!T10&lt;&gt;0,'Year One Breakdown '!T10,"")</f>
      </c>
      <c r="U71" s="372">
        <f>IF('Year One Breakdown '!U10&lt;&gt;0,'Year One Breakdown '!U10,"")</f>
      </c>
      <c r="V71" s="373">
        <f>IF('Year One Breakdown '!V10&lt;&gt;0,'Year One Breakdown '!V10,"")</f>
      </c>
      <c r="W71" s="372">
        <f>IF('Year One Breakdown '!W10&lt;&gt;0,'Year One Breakdown '!W10,"")</f>
      </c>
      <c r="X71" s="373">
        <f>IF('Year One Breakdown '!X10&lt;&gt;0,'Year One Breakdown '!X10,"")</f>
      </c>
      <c r="Y71" s="372">
        <f>IF('Year One Breakdown '!Y10&lt;&gt;0,'Year One Breakdown '!Y10,"")</f>
      </c>
      <c r="Z71" s="373">
        <f>IF('Year One Breakdown '!Z10&lt;&gt;0,'Year One Breakdown '!Z10,"")</f>
      </c>
      <c r="AA71" s="373">
        <f>IF('Year One Breakdown '!AA10&lt;&gt;0,'Year One Breakdown '!AA10,"")</f>
      </c>
      <c r="AB71" s="368"/>
    </row>
    <row r="72" spans="1:28" s="271" customFormat="1" ht="9" customHeight="1">
      <c r="A72" s="363"/>
      <c r="B72" s="340" t="str">
        <f>'Year One Breakdown '!B11</f>
        <v>Rent Level 4</v>
      </c>
      <c r="C72" s="372">
        <f>IF('Year One Breakdown '!C11&lt;&gt;0,'Year One Breakdown '!C11,"")</f>
      </c>
      <c r="D72" s="373">
        <f>IF('Year One Breakdown '!D11&lt;&gt;0,'Year One Breakdown '!D11,"")</f>
      </c>
      <c r="E72" s="372">
        <f>IF('Year One Breakdown '!E11&lt;&gt;0,'Year One Breakdown '!E11,"")</f>
      </c>
      <c r="F72" s="373">
        <f>IF('Year One Breakdown '!F11&lt;&gt;0,'Year One Breakdown '!F11,"")</f>
      </c>
      <c r="G72" s="372">
        <f>IF('Year One Breakdown '!G11&lt;&gt;0,'Year One Breakdown '!G11,"")</f>
      </c>
      <c r="H72" s="373">
        <f>IF('Year One Breakdown '!H11&lt;&gt;0,'Year One Breakdown '!H11,"")</f>
      </c>
      <c r="I72" s="372">
        <f>IF('Year One Breakdown '!I11&lt;&gt;0,'Year One Breakdown '!I11,"")</f>
      </c>
      <c r="J72" s="373">
        <f>IF('Year One Breakdown '!J11&lt;&gt;0,'Year One Breakdown '!J11,"")</f>
      </c>
      <c r="K72" s="372">
        <f>IF('Year One Breakdown '!K11&lt;&gt;0,'Year One Breakdown '!K11,"")</f>
      </c>
      <c r="L72" s="373">
        <f>IF('Year One Breakdown '!L11&lt;&gt;0,'Year One Breakdown '!L11,"")</f>
      </c>
      <c r="M72" s="372">
        <f>IF('Year One Breakdown '!M11&lt;&gt;0,'Year One Breakdown '!M11,"")</f>
      </c>
      <c r="N72" s="373">
        <f>IF('Year One Breakdown '!N11&lt;&gt;0,'Year One Breakdown '!N11,"")</f>
      </c>
      <c r="O72" s="372">
        <f>IF('Year One Breakdown '!O11&lt;&gt;0,'Year One Breakdown '!O11,"")</f>
      </c>
      <c r="P72" s="373">
        <f>IF('Year One Breakdown '!P11&lt;&gt;0,'Year One Breakdown '!P11,"")</f>
      </c>
      <c r="Q72" s="372">
        <f>IF('Year One Breakdown '!Q11&lt;&gt;0,'Year One Breakdown '!Q11,"")</f>
      </c>
      <c r="R72" s="373">
        <f>IF('Year One Breakdown '!R11&lt;&gt;0,'Year One Breakdown '!R11,"")</f>
      </c>
      <c r="S72" s="372">
        <f>IF('Year One Breakdown '!S11&lt;&gt;0,'Year One Breakdown '!S11,"")</f>
      </c>
      <c r="T72" s="373">
        <f>IF('Year One Breakdown '!T11&lt;&gt;0,'Year One Breakdown '!T11,"")</f>
      </c>
      <c r="U72" s="372">
        <f>IF('Year One Breakdown '!U11&lt;&gt;0,'Year One Breakdown '!U11,"")</f>
      </c>
      <c r="V72" s="373">
        <f>IF('Year One Breakdown '!V11&lt;&gt;0,'Year One Breakdown '!V11,"")</f>
      </c>
      <c r="W72" s="372">
        <f>IF('Year One Breakdown '!W11&lt;&gt;0,'Year One Breakdown '!W11,"")</f>
      </c>
      <c r="X72" s="373">
        <f>IF('Year One Breakdown '!X11&lt;&gt;0,'Year One Breakdown '!X11,"")</f>
      </c>
      <c r="Y72" s="372">
        <f>IF('Year One Breakdown '!Y11&lt;&gt;0,'Year One Breakdown '!Y11,"")</f>
      </c>
      <c r="Z72" s="373">
        <f>IF('Year One Breakdown '!Z11&lt;&gt;0,'Year One Breakdown '!Z11,"")</f>
      </c>
      <c r="AA72" s="373">
        <f>IF('Year One Breakdown '!AA11&lt;&gt;0,'Year One Breakdown '!AA11,"")</f>
      </c>
      <c r="AB72" s="368"/>
    </row>
    <row r="73" spans="1:28" s="271" customFormat="1" ht="9" customHeight="1">
      <c r="A73" s="363"/>
      <c r="B73" s="374" t="str">
        <f>'Year One Breakdown '!B12</f>
        <v>Total rent</v>
      </c>
      <c r="C73" s="373">
        <f>IF('Year One Breakdown '!C12&lt;&gt;0,'Year One Breakdown '!C12,"")</f>
      </c>
      <c r="D73" s="373">
        <f>IF('Year One Breakdown '!D12&lt;&gt;0,'Year One Breakdown '!D12,"")</f>
      </c>
      <c r="E73" s="373">
        <f>IF('Year One Breakdown '!E12&lt;&gt;0,'Year One Breakdown '!E12,"")</f>
      </c>
      <c r="F73" s="373">
        <f>IF('Year One Breakdown '!F12&lt;&gt;0,'Year One Breakdown '!F12,"")</f>
      </c>
      <c r="G73" s="373">
        <f>IF('Year One Breakdown '!G12&lt;&gt;0,'Year One Breakdown '!G12,"")</f>
      </c>
      <c r="H73" s="373">
        <f>IF('Year One Breakdown '!H12&lt;&gt;0,'Year One Breakdown '!H12,"")</f>
      </c>
      <c r="I73" s="373">
        <f>IF('Year One Breakdown '!I12&lt;&gt;0,'Year One Breakdown '!I12,"")</f>
      </c>
      <c r="J73" s="373">
        <f>IF('Year One Breakdown '!J12&lt;&gt;0,'Year One Breakdown '!J12,"")</f>
      </c>
      <c r="K73" s="373">
        <f>IF('Year One Breakdown '!K12&lt;&gt;0,'Year One Breakdown '!K12,"")</f>
      </c>
      <c r="L73" s="373">
        <f>IF('Year One Breakdown '!L12&lt;&gt;0,'Year One Breakdown '!L12,"")</f>
      </c>
      <c r="M73" s="373">
        <f>IF('Year One Breakdown '!M12&lt;&gt;0,'Year One Breakdown '!M12,"")</f>
      </c>
      <c r="N73" s="373">
        <f>IF('Year One Breakdown '!N12&lt;&gt;0,'Year One Breakdown '!N12,"")</f>
      </c>
      <c r="O73" s="373">
        <f>IF('Year One Breakdown '!O12&lt;&gt;0,'Year One Breakdown '!O12,"")</f>
      </c>
      <c r="P73" s="373">
        <f>IF('Year One Breakdown '!P12&lt;&gt;0,'Year One Breakdown '!P12,"")</f>
      </c>
      <c r="Q73" s="373">
        <f>IF('Year One Breakdown '!Q12&lt;&gt;0,'Year One Breakdown '!Q12,"")</f>
      </c>
      <c r="R73" s="373">
        <f>IF('Year One Breakdown '!R12&lt;&gt;0,'Year One Breakdown '!R12,"")</f>
      </c>
      <c r="S73" s="373">
        <f>IF('Year One Breakdown '!S12&lt;&gt;0,'Year One Breakdown '!S12,"")</f>
      </c>
      <c r="T73" s="373">
        <f>IF('Year One Breakdown '!T12&lt;&gt;0,'Year One Breakdown '!T12,"")</f>
      </c>
      <c r="U73" s="373">
        <f>IF('Year One Breakdown '!U12&lt;&gt;0,'Year One Breakdown '!U12,"")</f>
      </c>
      <c r="V73" s="373">
        <f>IF('Year One Breakdown '!V12&lt;&gt;0,'Year One Breakdown '!V12,"")</f>
      </c>
      <c r="W73" s="373">
        <f>IF('Year One Breakdown '!W12&lt;&gt;0,'Year One Breakdown '!W12,"")</f>
      </c>
      <c r="X73" s="373">
        <f>IF('Year One Breakdown '!X12&lt;&gt;0,'Year One Breakdown '!X12,"")</f>
      </c>
      <c r="Y73" s="373">
        <f>IF('Year One Breakdown '!Y12&lt;&gt;0,'Year One Breakdown '!Y12,"")</f>
      </c>
      <c r="Z73" s="373">
        <f>IF('Year One Breakdown '!Z12&lt;&gt;0,'Year One Breakdown '!Z12,"")</f>
      </c>
      <c r="AA73" s="373">
        <f>IF('Year One Breakdown '!AA12&lt;&gt;0,'Year One Breakdown '!AA12,"")</f>
      </c>
      <c r="AB73" s="368"/>
    </row>
    <row r="74" spans="1:28" s="271" customFormat="1" ht="9" customHeight="1">
      <c r="A74" s="363"/>
      <c r="B74" s="340" t="str">
        <f>'Year One Breakdown '!B13</f>
        <v>Other</v>
      </c>
      <c r="C74" s="373">
        <f>IF('Year One Breakdown '!C13&lt;&gt;0,'Year One Breakdown '!C13,"")</f>
      </c>
      <c r="D74" s="373">
        <f>IF('Year One Breakdown '!D13&lt;&gt;0,'Year One Breakdown '!D13,"")</f>
      </c>
      <c r="E74" s="373">
        <f>IF('Year One Breakdown '!E13&lt;&gt;0,'Year One Breakdown '!E13,"")</f>
      </c>
      <c r="F74" s="373">
        <f>IF('Year One Breakdown '!F13&lt;&gt;0,'Year One Breakdown '!F13,"")</f>
      </c>
      <c r="G74" s="373">
        <f>IF('Year One Breakdown '!G13&lt;&gt;0,'Year One Breakdown '!G13,"")</f>
      </c>
      <c r="H74" s="373">
        <f>IF('Year One Breakdown '!H13&lt;&gt;0,'Year One Breakdown '!H13,"")</f>
      </c>
      <c r="I74" s="373">
        <f>IF('Year One Breakdown '!I13&lt;&gt;0,'Year One Breakdown '!I13,"")</f>
      </c>
      <c r="J74" s="373">
        <f>IF('Year One Breakdown '!J13&lt;&gt;0,'Year One Breakdown '!J13,"")</f>
      </c>
      <c r="K74" s="373">
        <f>IF('Year One Breakdown '!K13&lt;&gt;0,'Year One Breakdown '!K13,"")</f>
      </c>
      <c r="L74" s="373">
        <f>IF('Year One Breakdown '!L13&lt;&gt;0,'Year One Breakdown '!L13,"")</f>
      </c>
      <c r="M74" s="373">
        <f>IF('Year One Breakdown '!M13&lt;&gt;0,'Year One Breakdown '!M13,"")</f>
      </c>
      <c r="N74" s="373">
        <f>IF('Year One Breakdown '!N13&lt;&gt;0,'Year One Breakdown '!N13,"")</f>
      </c>
      <c r="O74" s="373">
        <f>IF('Year One Breakdown '!O13&lt;&gt;0,'Year One Breakdown '!O13,"")</f>
      </c>
      <c r="P74" s="373">
        <f>IF('Year One Breakdown '!P13&lt;&gt;0,'Year One Breakdown '!P13,"")</f>
      </c>
      <c r="Q74" s="373">
        <f>IF('Year One Breakdown '!Q13&lt;&gt;0,'Year One Breakdown '!Q13,"")</f>
      </c>
      <c r="R74" s="373">
        <f>IF('Year One Breakdown '!R13&lt;&gt;0,'Year One Breakdown '!R13,"")</f>
      </c>
      <c r="S74" s="373">
        <f>IF('Year One Breakdown '!S13&lt;&gt;0,'Year One Breakdown '!S13,"")</f>
      </c>
      <c r="T74" s="373">
        <f>IF('Year One Breakdown '!T13&lt;&gt;0,'Year One Breakdown '!T13,"")</f>
      </c>
      <c r="U74" s="373">
        <f>IF('Year One Breakdown '!U13&lt;&gt;0,'Year One Breakdown '!U13,"")</f>
      </c>
      <c r="V74" s="373">
        <f>IF('Year One Breakdown '!V13&lt;&gt;0,'Year One Breakdown '!V13,"")</f>
      </c>
      <c r="W74" s="373">
        <f>IF('Year One Breakdown '!W13&lt;&gt;0,'Year One Breakdown '!W13,"")</f>
      </c>
      <c r="X74" s="373">
        <f>IF('Year One Breakdown '!X13&lt;&gt;0,'Year One Breakdown '!X13,"")</f>
      </c>
      <c r="Y74" s="373">
        <f>IF('Year One Breakdown '!Y13&lt;&gt;0,'Year One Breakdown '!Y13,"")</f>
      </c>
      <c r="Z74" s="373">
        <f>IF('Year One Breakdown '!Z13&lt;&gt;0,'Year One Breakdown '!Z13,"")</f>
      </c>
      <c r="AA74" s="373">
        <f>IF('Year One Breakdown '!AA13&lt;&gt;0,'Year One Breakdown '!AA13,"")</f>
      </c>
      <c r="AB74" s="368"/>
    </row>
    <row r="75" spans="1:28" s="271" customFormat="1" ht="9" customHeight="1">
      <c r="A75" s="363"/>
      <c r="B75" s="354" t="s">
        <v>260</v>
      </c>
      <c r="C75" s="375"/>
      <c r="D75" s="269">
        <f>'Year One Breakdown '!D15</f>
        <v>101000</v>
      </c>
      <c r="E75" s="376"/>
      <c r="F75" s="269">
        <f>'Year One Breakdown '!F15</f>
        <v>0</v>
      </c>
      <c r="G75" s="376"/>
      <c r="H75" s="269">
        <f>'Year One Breakdown '!H15</f>
        <v>0</v>
      </c>
      <c r="I75" s="376"/>
      <c r="J75" s="269">
        <f>'Year One Breakdown '!J15</f>
        <v>0</v>
      </c>
      <c r="K75" s="376"/>
      <c r="L75" s="269">
        <f>'Year One Breakdown '!L15</f>
        <v>0</v>
      </c>
      <c r="M75" s="376"/>
      <c r="N75" s="269">
        <f>'Year One Breakdown '!N15</f>
        <v>0</v>
      </c>
      <c r="O75" s="376"/>
      <c r="P75" s="269">
        <f>'Year One Breakdown '!P15</f>
        <v>0</v>
      </c>
      <c r="Q75" s="376"/>
      <c r="R75" s="269">
        <f>'Year One Breakdown '!R15</f>
        <v>0</v>
      </c>
      <c r="S75" s="376"/>
      <c r="T75" s="269">
        <f>'Year One Breakdown '!T15</f>
        <v>0</v>
      </c>
      <c r="U75" s="376"/>
      <c r="V75" s="269">
        <f>'Year One Breakdown '!V15</f>
        <v>0</v>
      </c>
      <c r="W75" s="376"/>
      <c r="X75" s="269">
        <f>'Year One Breakdown '!X15</f>
        <v>0</v>
      </c>
      <c r="Y75" s="376"/>
      <c r="Z75" s="269">
        <f>'Year One Breakdown '!Z15</f>
        <v>0</v>
      </c>
      <c r="AA75" s="269">
        <f>'Year One Breakdown '!AA15</f>
        <v>101000</v>
      </c>
      <c r="AB75" s="368"/>
    </row>
    <row r="76" spans="1:28" s="271" customFormat="1" ht="9" customHeight="1">
      <c r="A76" s="363"/>
      <c r="B76" s="282"/>
      <c r="C76" s="377"/>
      <c r="D76" s="280"/>
      <c r="E76" s="378"/>
      <c r="F76" s="280"/>
      <c r="G76" s="378"/>
      <c r="H76" s="280"/>
      <c r="I76" s="378"/>
      <c r="J76" s="280"/>
      <c r="K76" s="378"/>
      <c r="L76" s="280"/>
      <c r="M76" s="378"/>
      <c r="N76" s="280"/>
      <c r="O76" s="378"/>
      <c r="P76" s="280"/>
      <c r="Q76" s="378"/>
      <c r="R76" s="280"/>
      <c r="S76" s="378"/>
      <c r="T76" s="280"/>
      <c r="U76" s="378"/>
      <c r="V76" s="280"/>
      <c r="W76" s="378"/>
      <c r="X76" s="280"/>
      <c r="Y76" s="378"/>
      <c r="Z76" s="280"/>
      <c r="AA76" s="280"/>
      <c r="AB76" s="368"/>
    </row>
    <row r="77" spans="1:28" s="271" customFormat="1" ht="9" customHeight="1">
      <c r="A77" s="379"/>
      <c r="B77" s="379" t="s">
        <v>182</v>
      </c>
      <c r="C77" s="380"/>
      <c r="D77" s="381"/>
      <c r="E77" s="380"/>
      <c r="F77" s="382"/>
      <c r="G77" s="380"/>
      <c r="H77" s="382"/>
      <c r="I77" s="380"/>
      <c r="J77" s="382"/>
      <c r="K77" s="380"/>
      <c r="L77" s="382"/>
      <c r="M77" s="380"/>
      <c r="N77" s="382"/>
      <c r="O77" s="380"/>
      <c r="P77" s="382"/>
      <c r="Q77" s="380"/>
      <c r="R77" s="382"/>
      <c r="S77" s="380"/>
      <c r="T77" s="382"/>
      <c r="U77" s="380"/>
      <c r="V77" s="382"/>
      <c r="W77" s="380"/>
      <c r="X77" s="382"/>
      <c r="Y77" s="380"/>
      <c r="Z77" s="382"/>
      <c r="AA77" s="382"/>
      <c r="AB77" s="382"/>
    </row>
    <row r="78" spans="1:28" s="271" customFormat="1" ht="9" customHeight="1">
      <c r="A78" s="383"/>
      <c r="B78" s="364" t="s">
        <v>261</v>
      </c>
      <c r="C78" s="365"/>
      <c r="D78" s="367">
        <f>'Inc &amp; Exp'!G79</f>
        <v>0</v>
      </c>
      <c r="E78" s="365"/>
      <c r="F78" s="367"/>
      <c r="G78" s="365"/>
      <c r="H78" s="367"/>
      <c r="I78" s="365"/>
      <c r="J78" s="367"/>
      <c r="K78" s="365"/>
      <c r="L78" s="367"/>
      <c r="M78" s="365"/>
      <c r="N78" s="367"/>
      <c r="O78" s="365"/>
      <c r="P78" s="367"/>
      <c r="Q78" s="365"/>
      <c r="R78" s="367"/>
      <c r="S78" s="365"/>
      <c r="T78" s="367"/>
      <c r="U78" s="365"/>
      <c r="V78" s="367"/>
      <c r="W78" s="365"/>
      <c r="X78" s="367"/>
      <c r="Y78" s="365"/>
      <c r="Z78" s="367"/>
      <c r="AA78" s="367">
        <f>SUM(A78:Z78)</f>
        <v>0</v>
      </c>
      <c r="AB78" s="382"/>
    </row>
    <row r="79" spans="1:28" s="271" customFormat="1" ht="9" customHeight="1">
      <c r="A79" s="383"/>
      <c r="B79" s="340" t="s">
        <v>187</v>
      </c>
      <c r="C79" s="365"/>
      <c r="D79" s="367">
        <f>'Inc &amp; Exp'!G26</f>
        <v>0</v>
      </c>
      <c r="E79" s="365"/>
      <c r="F79" s="367"/>
      <c r="G79" s="365"/>
      <c r="H79" s="367"/>
      <c r="I79" s="365"/>
      <c r="J79" s="367"/>
      <c r="K79" s="365"/>
      <c r="L79" s="367"/>
      <c r="M79" s="365"/>
      <c r="N79" s="367"/>
      <c r="O79" s="365"/>
      <c r="P79" s="367"/>
      <c r="Q79" s="365"/>
      <c r="R79" s="367"/>
      <c r="S79" s="365"/>
      <c r="T79" s="367"/>
      <c r="U79" s="365"/>
      <c r="V79" s="367"/>
      <c r="W79" s="365"/>
      <c r="X79" s="367"/>
      <c r="Y79" s="365"/>
      <c r="Z79" s="367"/>
      <c r="AA79" s="367">
        <f>'Year One Breakdown '!AA23</f>
        <v>0</v>
      </c>
      <c r="AB79" s="382"/>
    </row>
    <row r="80" spans="1:28" s="271" customFormat="1" ht="9" customHeight="1">
      <c r="A80" s="383"/>
      <c r="B80" s="340" t="s">
        <v>188</v>
      </c>
      <c r="C80" s="365"/>
      <c r="D80" s="384">
        <f>IF('Year One Breakdown '!D24&lt;&gt;0,'Year One Breakdown '!D24,"")</f>
      </c>
      <c r="E80" s="367">
        <f>IF('Year One Breakdown '!E24&lt;&gt;0,'Year One Breakdown '!E24,"")</f>
      </c>
      <c r="F80" s="384">
        <f>IF('Year One Breakdown '!F24&lt;&gt;0,'Year One Breakdown '!F24,"")</f>
      </c>
      <c r="G80" s="367">
        <f>IF('Year One Breakdown '!G24&lt;&gt;0,'Year One Breakdown '!G24,"")</f>
      </c>
      <c r="H80" s="384">
        <f>IF('Year One Breakdown '!H24&lt;&gt;0,'Year One Breakdown '!H24,"")</f>
      </c>
      <c r="I80" s="367">
        <f>IF('Year One Breakdown '!I24&lt;&gt;0,'Year One Breakdown '!I24,"")</f>
      </c>
      <c r="J80" s="384">
        <f>IF('Year One Breakdown '!J24&lt;&gt;0,'Year One Breakdown '!J24,"")</f>
      </c>
      <c r="K80" s="367">
        <f>IF('Year One Breakdown '!K24&lt;&gt;0,'Year One Breakdown '!K24,"")</f>
      </c>
      <c r="L80" s="384">
        <f>IF('Year One Breakdown '!L24&lt;&gt;0,'Year One Breakdown '!L24,"")</f>
      </c>
      <c r="M80" s="367">
        <f>IF('Year One Breakdown '!M24&lt;&gt;0,'Year One Breakdown '!M24,"")</f>
      </c>
      <c r="N80" s="384">
        <f>IF('Year One Breakdown '!N24&lt;&gt;0,'Year One Breakdown '!N24,"")</f>
      </c>
      <c r="O80" s="367">
        <f>IF('Year One Breakdown '!O24&lt;&gt;0,'Year One Breakdown '!O24,"")</f>
      </c>
      <c r="P80" s="384">
        <f>IF('Year One Breakdown '!P24&lt;&gt;0,'Year One Breakdown '!P24,"")</f>
      </c>
      <c r="Q80" s="367">
        <f>IF('Year One Breakdown '!Q24&lt;&gt;0,'Year One Breakdown '!Q24,"")</f>
      </c>
      <c r="R80" s="384">
        <f>IF('Year One Breakdown '!R24&lt;&gt;0,'Year One Breakdown '!R24,"")</f>
      </c>
      <c r="S80" s="367">
        <f>IF('Year One Breakdown '!S24&lt;&gt;0,'Year One Breakdown '!S24,"")</f>
      </c>
      <c r="T80" s="384">
        <f>IF('Year One Breakdown '!T24&lt;&gt;0,'Year One Breakdown '!T24,"")</f>
      </c>
      <c r="U80" s="367">
        <f>IF('Year One Breakdown '!U24&lt;&gt;0,'Year One Breakdown '!U24,"")</f>
      </c>
      <c r="V80" s="384">
        <f>IF('Year One Breakdown '!V24&lt;&gt;0,'Year One Breakdown '!V24,"")</f>
      </c>
      <c r="W80" s="367">
        <f>IF('Year One Breakdown '!W24&lt;&gt;0,'Year One Breakdown '!W24,"")</f>
      </c>
      <c r="X80" s="384">
        <f>IF('Year One Breakdown '!X24&lt;&gt;0,'Year One Breakdown '!X24,"")</f>
      </c>
      <c r="Y80" s="367">
        <f>IF('Year One Breakdown '!Y24&lt;&gt;0,'Year One Breakdown '!Y24,"")</f>
      </c>
      <c r="Z80" s="384">
        <f>IF('Year One Breakdown '!Z24&lt;&gt;0,'Year One Breakdown '!Z24,"")</f>
      </c>
      <c r="AA80" s="367">
        <f>SUM(A80:Z80)</f>
        <v>0</v>
      </c>
      <c r="AB80" s="382"/>
    </row>
    <row r="81" spans="1:28" s="271" customFormat="1" ht="9" customHeight="1">
      <c r="A81" s="383"/>
      <c r="B81" s="340" t="s">
        <v>38</v>
      </c>
      <c r="C81" s="365"/>
      <c r="D81" s="367">
        <f>IF('Year One Breakdown '!D25&lt;&gt;0,'Year One Breakdown '!D25,"")</f>
      </c>
      <c r="E81" s="367">
        <f>IF('Year One Breakdown '!E25&lt;&gt;0,'Year One Breakdown '!E25,"")</f>
      </c>
      <c r="F81" s="367">
        <f>IF('Year One Breakdown '!F25&lt;&gt;0,'Year One Breakdown '!F25,"")</f>
      </c>
      <c r="G81" s="367">
        <f>IF('Year One Breakdown '!G25&lt;&gt;0,'Year One Breakdown '!G25,"")</f>
      </c>
      <c r="H81" s="367">
        <f>IF('Year One Breakdown '!H25&lt;&gt;0,'Year One Breakdown '!H25,"")</f>
      </c>
      <c r="I81" s="367">
        <f>IF('Year One Breakdown '!I25&lt;&gt;0,'Year One Breakdown '!I25,"")</f>
      </c>
      <c r="J81" s="367">
        <f>IF('Year One Breakdown '!J25&lt;&gt;0,'Year One Breakdown '!J25,"")</f>
      </c>
      <c r="K81" s="367">
        <f>IF('Year One Breakdown '!K25&lt;&gt;0,'Year One Breakdown '!K25,"")</f>
      </c>
      <c r="L81" s="367">
        <f>IF('Year One Breakdown '!L25&lt;&gt;0,'Year One Breakdown '!L25,"")</f>
      </c>
      <c r="M81" s="367">
        <f>IF('Year One Breakdown '!M25&lt;&gt;0,'Year One Breakdown '!M25,"")</f>
      </c>
      <c r="N81" s="367">
        <f>IF('Year One Breakdown '!N25&lt;&gt;0,'Year One Breakdown '!N25,"")</f>
      </c>
      <c r="O81" s="367">
        <f>IF('Year One Breakdown '!O25&lt;&gt;0,'Year One Breakdown '!O25,"")</f>
      </c>
      <c r="P81" s="367">
        <f>IF('Year One Breakdown '!P25&lt;&gt;0,'Year One Breakdown '!P25,"")</f>
      </c>
      <c r="Q81" s="367">
        <f>IF('Year One Breakdown '!Q25&lt;&gt;0,'Year One Breakdown '!Q25,"")</f>
      </c>
      <c r="R81" s="367">
        <f>IF('Year One Breakdown '!R25&lt;&gt;0,'Year One Breakdown '!R25,"")</f>
      </c>
      <c r="S81" s="367">
        <f>IF('Year One Breakdown '!S25&lt;&gt;0,'Year One Breakdown '!S25,"")</f>
      </c>
      <c r="T81" s="367">
        <f>IF('Year One Breakdown '!T25&lt;&gt;0,'Year One Breakdown '!T25,"")</f>
      </c>
      <c r="U81" s="367">
        <f>IF('Year One Breakdown '!U25&lt;&gt;0,'Year One Breakdown '!U25,"")</f>
      </c>
      <c r="V81" s="367">
        <f>IF('Year One Breakdown '!V25&lt;&gt;0,'Year One Breakdown '!V25,"")</f>
      </c>
      <c r="W81" s="367">
        <f>IF('Year One Breakdown '!W25&lt;&gt;0,'Year One Breakdown '!W25,"")</f>
      </c>
      <c r="X81" s="367">
        <f>IF('Year One Breakdown '!X25&lt;&gt;0,'Year One Breakdown '!X25,"")</f>
      </c>
      <c r="Y81" s="367">
        <f>IF('Year One Breakdown '!Y25&lt;&gt;0,'Year One Breakdown '!Y25,"")</f>
      </c>
      <c r="Z81" s="367">
        <f>IF('Year One Breakdown '!Z25&lt;&gt;0,'Year One Breakdown '!Z25,"")</f>
      </c>
      <c r="AA81" s="367">
        <f>'Year One Breakdown '!AA25</f>
        <v>0</v>
      </c>
      <c r="AB81" s="382"/>
    </row>
    <row r="82" spans="1:28" s="271" customFormat="1" ht="9" customHeight="1">
      <c r="A82" s="383"/>
      <c r="B82" s="340" t="s">
        <v>190</v>
      </c>
      <c r="C82" s="365"/>
      <c r="D82" s="367">
        <f>IF('Year One Breakdown '!D26&lt;&gt;0,'Year One Breakdown '!D26,"")</f>
      </c>
      <c r="E82" s="367">
        <f>IF('Year One Breakdown '!E26&lt;&gt;0,'Year One Breakdown '!E26,"")</f>
      </c>
      <c r="F82" s="367">
        <f>IF('Year One Breakdown '!F26&lt;&gt;0,'Year One Breakdown '!F26,"")</f>
      </c>
      <c r="G82" s="367">
        <f>IF('Year One Breakdown '!G26&lt;&gt;0,'Year One Breakdown '!G26,"")</f>
      </c>
      <c r="H82" s="367">
        <f>IF('Year One Breakdown '!H26&lt;&gt;0,'Year One Breakdown '!H26,"")</f>
      </c>
      <c r="I82" s="367">
        <f>IF('Year One Breakdown '!I26&lt;&gt;0,'Year One Breakdown '!I26,"")</f>
      </c>
      <c r="J82" s="367">
        <f>IF('Year One Breakdown '!J26&lt;&gt;0,'Year One Breakdown '!J26,"")</f>
      </c>
      <c r="K82" s="367">
        <f>IF('Year One Breakdown '!K26&lt;&gt;0,'Year One Breakdown '!K26,"")</f>
      </c>
      <c r="L82" s="367">
        <f>IF('Year One Breakdown '!L26&lt;&gt;0,'Year One Breakdown '!L26,"")</f>
      </c>
      <c r="M82" s="367">
        <f>IF('Year One Breakdown '!M26&lt;&gt;0,'Year One Breakdown '!M26,"")</f>
      </c>
      <c r="N82" s="367">
        <f>IF('Year One Breakdown '!N26&lt;&gt;0,'Year One Breakdown '!N26,"")</f>
      </c>
      <c r="O82" s="367">
        <f>IF('Year One Breakdown '!O26&lt;&gt;0,'Year One Breakdown '!O26,"")</f>
      </c>
      <c r="P82" s="367">
        <f>IF('Year One Breakdown '!P26&lt;&gt;0,'Year One Breakdown '!P26,"")</f>
      </c>
      <c r="Q82" s="367">
        <f>IF('Year One Breakdown '!Q26&lt;&gt;0,'Year One Breakdown '!Q26,"")</f>
      </c>
      <c r="R82" s="367">
        <f>IF('Year One Breakdown '!R26&lt;&gt;0,'Year One Breakdown '!R26,"")</f>
      </c>
      <c r="S82" s="367">
        <f>IF('Year One Breakdown '!S26&lt;&gt;0,'Year One Breakdown '!S26,"")</f>
      </c>
      <c r="T82" s="367">
        <f>IF('Year One Breakdown '!T26&lt;&gt;0,'Year One Breakdown '!T26,"")</f>
      </c>
      <c r="U82" s="367">
        <f>IF('Year One Breakdown '!U26&lt;&gt;0,'Year One Breakdown '!U26,"")</f>
      </c>
      <c r="V82" s="367">
        <f>IF('Year One Breakdown '!V26&lt;&gt;0,'Year One Breakdown '!V26,"")</f>
      </c>
      <c r="W82" s="367">
        <f>IF('Year One Breakdown '!W26&lt;&gt;0,'Year One Breakdown '!W26,"")</f>
      </c>
      <c r="X82" s="367">
        <f>IF('Year One Breakdown '!X26&lt;&gt;0,'Year One Breakdown '!X26,"")</f>
      </c>
      <c r="Y82" s="367">
        <f>IF('Year One Breakdown '!Y26&lt;&gt;0,'Year One Breakdown '!Y26,"")</f>
      </c>
      <c r="Z82" s="367">
        <f>IF('Year One Breakdown '!Z26&lt;&gt;0,'Year One Breakdown '!Z26,"")</f>
      </c>
      <c r="AA82" s="367">
        <f>'Year One Breakdown '!AA26</f>
        <v>0</v>
      </c>
      <c r="AB82" s="382"/>
    </row>
    <row r="83" spans="1:28" s="271" customFormat="1" ht="9" customHeight="1">
      <c r="A83" s="383"/>
      <c r="B83" s="340" t="s">
        <v>262</v>
      </c>
      <c r="C83" s="365"/>
      <c r="D83" s="367">
        <f>IF('Year One Breakdown '!D27&lt;&gt;0,'Year One Breakdown '!D27,"")</f>
      </c>
      <c r="E83" s="367">
        <f>IF('Year One Breakdown '!E27&lt;&gt;0,'Year One Breakdown '!E27,"")</f>
      </c>
      <c r="F83" s="367">
        <f>IF('Year One Breakdown '!F27&lt;&gt;0,'Year One Breakdown '!F27,"")</f>
      </c>
      <c r="G83" s="367">
        <f>IF('Year One Breakdown '!G27&lt;&gt;0,'Year One Breakdown '!G27,"")</f>
      </c>
      <c r="H83" s="367">
        <f>IF('Year One Breakdown '!H27&lt;&gt;0,'Year One Breakdown '!H27,"")</f>
      </c>
      <c r="I83" s="367">
        <f>IF('Year One Breakdown '!I27&lt;&gt;0,'Year One Breakdown '!I27,"")</f>
      </c>
      <c r="J83" s="367">
        <f>IF('Year One Breakdown '!J27&lt;&gt;0,'Year One Breakdown '!J27,"")</f>
      </c>
      <c r="K83" s="367">
        <f>IF('Year One Breakdown '!K27&lt;&gt;0,'Year One Breakdown '!K27,"")</f>
      </c>
      <c r="L83" s="367">
        <f>IF('Year One Breakdown '!L27&lt;&gt;0,'Year One Breakdown '!L27,"")</f>
      </c>
      <c r="M83" s="367">
        <f>IF('Year One Breakdown '!M27&lt;&gt;0,'Year One Breakdown '!M27,"")</f>
      </c>
      <c r="N83" s="367">
        <f>IF('Year One Breakdown '!N27&lt;&gt;0,'Year One Breakdown '!N27,"")</f>
      </c>
      <c r="O83" s="367">
        <f>IF('Year One Breakdown '!O27&lt;&gt;0,'Year One Breakdown '!O27,"")</f>
      </c>
      <c r="P83" s="367">
        <f>IF('Year One Breakdown '!P27&lt;&gt;0,'Year One Breakdown '!P27,"")</f>
      </c>
      <c r="Q83" s="367">
        <f>IF('Year One Breakdown '!Q27&lt;&gt;0,'Year One Breakdown '!Q27,"")</f>
      </c>
      <c r="R83" s="367">
        <f>IF('Year One Breakdown '!R27&lt;&gt;0,'Year One Breakdown '!R27,"")</f>
      </c>
      <c r="S83" s="367">
        <f>IF('Year One Breakdown '!S27&lt;&gt;0,'Year One Breakdown '!S27,"")</f>
      </c>
      <c r="T83" s="367">
        <f>IF('Year One Breakdown '!T27&lt;&gt;0,'Year One Breakdown '!T27,"")</f>
      </c>
      <c r="U83" s="367">
        <f>IF('Year One Breakdown '!U27&lt;&gt;0,'Year One Breakdown '!U27,"")</f>
      </c>
      <c r="V83" s="367">
        <f>IF('Year One Breakdown '!V27&lt;&gt;0,'Year One Breakdown '!V27,"")</f>
      </c>
      <c r="W83" s="367">
        <f>IF('Year One Breakdown '!W27&lt;&gt;0,'Year One Breakdown '!W27,"")</f>
      </c>
      <c r="X83" s="367">
        <f>IF('Year One Breakdown '!X27&lt;&gt;0,'Year One Breakdown '!X27,"")</f>
      </c>
      <c r="Y83" s="367">
        <f>IF('Year One Breakdown '!Y27&lt;&gt;0,'Year One Breakdown '!Y27,"")</f>
      </c>
      <c r="Z83" s="367">
        <f>IF('Year One Breakdown '!Z27&lt;&gt;0,'Year One Breakdown '!Z27,"")</f>
      </c>
      <c r="AA83" s="367">
        <f>'Year One Breakdown '!AA27</f>
        <v>0</v>
      </c>
      <c r="AB83" s="382"/>
    </row>
    <row r="84" spans="1:28" s="271" customFormat="1" ht="9" customHeight="1">
      <c r="A84" s="383"/>
      <c r="B84" s="340" t="s">
        <v>42</v>
      </c>
      <c r="C84" s="365"/>
      <c r="D84" s="367">
        <f>IF('Year One Breakdown '!D28&lt;&gt;0,'Year One Breakdown '!D28,"")</f>
      </c>
      <c r="E84" s="367">
        <f>IF('Year One Breakdown '!E28&lt;&gt;0,'Year One Breakdown '!E28,"")</f>
      </c>
      <c r="F84" s="367">
        <f>IF('Year One Breakdown '!F28&lt;&gt;0,'Year One Breakdown '!F28,"")</f>
      </c>
      <c r="G84" s="367">
        <f>IF('Year One Breakdown '!G28&lt;&gt;0,'Year One Breakdown '!G28,"")</f>
      </c>
      <c r="H84" s="367">
        <f>IF('Year One Breakdown '!H28&lt;&gt;0,'Year One Breakdown '!H28,"")</f>
      </c>
      <c r="I84" s="367">
        <f>IF('Year One Breakdown '!I28&lt;&gt;0,'Year One Breakdown '!I28,"")</f>
      </c>
      <c r="J84" s="367">
        <f>IF('Year One Breakdown '!J28&lt;&gt;0,'Year One Breakdown '!J28,"")</f>
      </c>
      <c r="K84" s="367">
        <f>IF('Year One Breakdown '!K28&lt;&gt;0,'Year One Breakdown '!K28,"")</f>
      </c>
      <c r="L84" s="367">
        <f>IF('Year One Breakdown '!L28&lt;&gt;0,'Year One Breakdown '!L28,"")</f>
      </c>
      <c r="M84" s="367">
        <f>IF('Year One Breakdown '!M28&lt;&gt;0,'Year One Breakdown '!M28,"")</f>
      </c>
      <c r="N84" s="367">
        <f>IF('Year One Breakdown '!N28&lt;&gt;0,'Year One Breakdown '!N28,"")</f>
      </c>
      <c r="O84" s="367">
        <f>IF('Year One Breakdown '!O28&lt;&gt;0,'Year One Breakdown '!O28,"")</f>
      </c>
      <c r="P84" s="367">
        <f>IF('Year One Breakdown '!P28&lt;&gt;0,'Year One Breakdown '!P28,"")</f>
      </c>
      <c r="Q84" s="367">
        <f>IF('Year One Breakdown '!Q28&lt;&gt;0,'Year One Breakdown '!Q28,"")</f>
      </c>
      <c r="R84" s="367">
        <f>IF('Year One Breakdown '!R28&lt;&gt;0,'Year One Breakdown '!R28,"")</f>
      </c>
      <c r="S84" s="367">
        <f>IF('Year One Breakdown '!S28&lt;&gt;0,'Year One Breakdown '!S28,"")</f>
      </c>
      <c r="T84" s="367">
        <f>IF('Year One Breakdown '!T28&lt;&gt;0,'Year One Breakdown '!T28,"")</f>
      </c>
      <c r="U84" s="367">
        <f>IF('Year One Breakdown '!U28&lt;&gt;0,'Year One Breakdown '!U28,"")</f>
      </c>
      <c r="V84" s="367">
        <f>IF('Year One Breakdown '!V28&lt;&gt;0,'Year One Breakdown '!V28,"")</f>
      </c>
      <c r="W84" s="367">
        <f>IF('Year One Breakdown '!W28&lt;&gt;0,'Year One Breakdown '!W28,"")</f>
      </c>
      <c r="X84" s="367">
        <f>IF('Year One Breakdown '!X28&lt;&gt;0,'Year One Breakdown '!X28,"")</f>
      </c>
      <c r="Y84" s="367">
        <f>IF('Year One Breakdown '!Y28&lt;&gt;0,'Year One Breakdown '!Y28,"")</f>
      </c>
      <c r="Z84" s="367">
        <f>IF('Year One Breakdown '!Z28&lt;&gt;0,'Year One Breakdown '!Z28,"")</f>
      </c>
      <c r="AA84" s="367">
        <f>'Year One Breakdown '!AA28</f>
        <v>0</v>
      </c>
      <c r="AB84" s="382"/>
    </row>
    <row r="85" spans="1:28" s="271" customFormat="1" ht="9" customHeight="1">
      <c r="A85" s="383"/>
      <c r="B85" s="340" t="s">
        <v>263</v>
      </c>
      <c r="C85" s="365"/>
      <c r="D85" s="367">
        <f>IF('Year One Breakdown '!D31&lt;&gt;0,'Year One Breakdown '!D31,"")</f>
        <v>583.572856443553</v>
      </c>
      <c r="E85" s="367">
        <f>IF('Year One Breakdown '!E31&lt;&gt;0,'Year One Breakdown '!E31,"")</f>
      </c>
      <c r="F85" s="367">
        <f>IF('Year One Breakdown '!F31&lt;&gt;0,'Year One Breakdown '!F31,"")</f>
        <v>583.572856443553</v>
      </c>
      <c r="G85" s="367">
        <f>IF('Year One Breakdown '!G31&lt;&gt;0,'Year One Breakdown '!G31,"")</f>
      </c>
      <c r="H85" s="367">
        <f>IF('Year One Breakdown '!H31&lt;&gt;0,'Year One Breakdown '!H31,"")</f>
        <v>583.572856443553</v>
      </c>
      <c r="I85" s="367">
        <f>IF('Year One Breakdown '!I31&lt;&gt;0,'Year One Breakdown '!I31,"")</f>
      </c>
      <c r="J85" s="367">
        <f>IF('Year One Breakdown '!J31&lt;&gt;0,'Year One Breakdown '!J31,"")</f>
        <v>583.572856443553</v>
      </c>
      <c r="K85" s="367">
        <f>IF('Year One Breakdown '!K31&lt;&gt;0,'Year One Breakdown '!K31,"")</f>
      </c>
      <c r="L85" s="367">
        <f>IF('Year One Breakdown '!L31&lt;&gt;0,'Year One Breakdown '!L31,"")</f>
        <v>583.572856443553</v>
      </c>
      <c r="M85" s="367">
        <f>IF('Year One Breakdown '!M31&lt;&gt;0,'Year One Breakdown '!M31,"")</f>
      </c>
      <c r="N85" s="367">
        <f>IF('Year One Breakdown '!N31&lt;&gt;0,'Year One Breakdown '!N31,"")</f>
        <v>583.572856443553</v>
      </c>
      <c r="O85" s="367">
        <f>IF('Year One Breakdown '!O31&lt;&gt;0,'Year One Breakdown '!O31,"")</f>
      </c>
      <c r="P85" s="367">
        <f>IF('Year One Breakdown '!P31&lt;&gt;0,'Year One Breakdown '!P31,"")</f>
        <v>583.572856443553</v>
      </c>
      <c r="Q85" s="367">
        <f>IF('Year One Breakdown '!Q31&lt;&gt;0,'Year One Breakdown '!Q31,"")</f>
      </c>
      <c r="R85" s="367">
        <f>IF('Year One Breakdown '!R31&lt;&gt;0,'Year One Breakdown '!R31,"")</f>
        <v>583.572856443553</v>
      </c>
      <c r="S85" s="367">
        <f>IF('Year One Breakdown '!S31&lt;&gt;0,'Year One Breakdown '!S31,"")</f>
      </c>
      <c r="T85" s="367">
        <f>IF('Year One Breakdown '!T31&lt;&gt;0,'Year One Breakdown '!T31,"")</f>
        <v>583.572856443553</v>
      </c>
      <c r="U85" s="367">
        <f>IF('Year One Breakdown '!U31&lt;&gt;0,'Year One Breakdown '!U31,"")</f>
      </c>
      <c r="V85" s="367">
        <f>IF('Year One Breakdown '!V31&lt;&gt;0,'Year One Breakdown '!V31,"")</f>
        <v>583.572856443553</v>
      </c>
      <c r="W85" s="367">
        <f>IF('Year One Breakdown '!W31&lt;&gt;0,'Year One Breakdown '!W31,"")</f>
      </c>
      <c r="X85" s="367">
        <f>IF('Year One Breakdown '!X31&lt;&gt;0,'Year One Breakdown '!X31,"")</f>
        <v>583.572856443553</v>
      </c>
      <c r="Y85" s="367">
        <f>IF('Year One Breakdown '!Y31&lt;&gt;0,'Year One Breakdown '!Y31,"")</f>
      </c>
      <c r="Z85" s="367">
        <f>IF('Year One Breakdown '!Z31&lt;&gt;0,'Year One Breakdown '!Z31,"")</f>
        <v>583.572856443553</v>
      </c>
      <c r="AA85" s="367">
        <f>'Year One Breakdown '!AA31</f>
        <v>7002.874277322636</v>
      </c>
      <c r="AB85" s="382"/>
    </row>
    <row r="86" spans="1:28" s="271" customFormat="1" ht="9" customHeight="1">
      <c r="A86" s="383"/>
      <c r="B86" s="385" t="s">
        <v>44</v>
      </c>
      <c r="C86" s="386"/>
      <c r="D86" s="384">
        <f>IF('Year One Breakdown '!D29&lt;&gt;0,'Year One Breakdown '!D29,"")</f>
      </c>
      <c r="E86" s="367">
        <f>IF('Year One Breakdown '!E29&lt;&gt;0,'Year One Breakdown '!E29,"")</f>
      </c>
      <c r="F86" s="384">
        <f>IF('Year One Breakdown '!F29&lt;&gt;0,'Year One Breakdown '!F29,"")</f>
      </c>
      <c r="G86" s="367">
        <f>IF('Year One Breakdown '!G29&lt;&gt;0,'Year One Breakdown '!G29,"")</f>
      </c>
      <c r="H86" s="384">
        <f>IF('Year One Breakdown '!H29&lt;&gt;0,'Year One Breakdown '!H29,"")</f>
      </c>
      <c r="I86" s="367">
        <f>IF('Year One Breakdown '!I29&lt;&gt;0,'Year One Breakdown '!I29,"")</f>
      </c>
      <c r="J86" s="384">
        <f>IF('Year One Breakdown '!J29&lt;&gt;0,'Year One Breakdown '!J29,"")</f>
      </c>
      <c r="K86" s="367">
        <f>IF('Year One Breakdown '!K29&lt;&gt;0,'Year One Breakdown '!K29,"")</f>
      </c>
      <c r="L86" s="384">
        <f>IF('Year One Breakdown '!L29&lt;&gt;0,'Year One Breakdown '!L29,"")</f>
      </c>
      <c r="M86" s="367">
        <f>IF('Year One Breakdown '!M29&lt;&gt;0,'Year One Breakdown '!M29,"")</f>
      </c>
      <c r="N86" s="384">
        <f>IF('Year One Breakdown '!N29&lt;&gt;0,'Year One Breakdown '!N29,"")</f>
      </c>
      <c r="O86" s="367">
        <f>IF('Year One Breakdown '!O29&lt;&gt;0,'Year One Breakdown '!O29,"")</f>
      </c>
      <c r="P86" s="384">
        <f>IF('Year One Breakdown '!P29&lt;&gt;0,'Year One Breakdown '!P29,"")</f>
      </c>
      <c r="Q86" s="367">
        <f>IF('Year One Breakdown '!Q29&lt;&gt;0,'Year One Breakdown '!Q29,"")</f>
      </c>
      <c r="R86" s="384">
        <f>IF('Year One Breakdown '!R29&lt;&gt;0,'Year One Breakdown '!R29,"")</f>
      </c>
      <c r="S86" s="367">
        <f>IF('Year One Breakdown '!S29&lt;&gt;0,'Year One Breakdown '!S29,"")</f>
      </c>
      <c r="T86" s="384">
        <f>IF('Year One Breakdown '!T29&lt;&gt;0,'Year One Breakdown '!T29,"")</f>
      </c>
      <c r="U86" s="367">
        <f>IF('Year One Breakdown '!U29&lt;&gt;0,'Year One Breakdown '!U29,"")</f>
      </c>
      <c r="V86" s="384">
        <f>IF('Year One Breakdown '!V29&lt;&gt;0,'Year One Breakdown '!V29,"")</f>
      </c>
      <c r="W86" s="367">
        <f>IF('Year One Breakdown '!W29&lt;&gt;0,'Year One Breakdown '!W29,"")</f>
      </c>
      <c r="X86" s="384">
        <f>IF('Year One Breakdown '!X29&lt;&gt;0,'Year One Breakdown '!X29,"")</f>
      </c>
      <c r="Y86" s="367">
        <f>IF('Year One Breakdown '!Y29&lt;&gt;0,'Year One Breakdown '!Y29,"")</f>
      </c>
      <c r="Z86" s="384">
        <f>IF('Year One Breakdown '!Z29&lt;&gt;0,'Year One Breakdown '!Z29,"")</f>
      </c>
      <c r="AA86" s="367">
        <f>'Year One Breakdown '!AA29</f>
        <v>0</v>
      </c>
      <c r="AB86" s="382"/>
    </row>
    <row r="87" spans="1:28" s="271" customFormat="1" ht="9" customHeight="1">
      <c r="A87" s="383"/>
      <c r="B87" s="354" t="s">
        <v>264</v>
      </c>
      <c r="C87" s="375"/>
      <c r="D87" s="269">
        <f>'Year One Breakdown '!D34</f>
        <v>583.572856443553</v>
      </c>
      <c r="E87" s="376"/>
      <c r="F87" s="269">
        <f>'Year One Breakdown '!F34</f>
        <v>583.572856443553</v>
      </c>
      <c r="G87" s="376"/>
      <c r="H87" s="269">
        <f>'Year One Breakdown '!H34</f>
        <v>583.572856443553</v>
      </c>
      <c r="I87" s="376"/>
      <c r="J87" s="269">
        <f>'Year One Breakdown '!J34</f>
        <v>583.572856443553</v>
      </c>
      <c r="K87" s="376"/>
      <c r="L87" s="269">
        <f>'Year One Breakdown '!L34</f>
        <v>583.572856443553</v>
      </c>
      <c r="M87" s="376"/>
      <c r="N87" s="269">
        <f>'Year One Breakdown '!N34</f>
        <v>583.572856443553</v>
      </c>
      <c r="O87" s="376"/>
      <c r="P87" s="269">
        <f>'Year One Breakdown '!P34</f>
        <v>583.572856443553</v>
      </c>
      <c r="Q87" s="376"/>
      <c r="R87" s="269">
        <f>'Year One Breakdown '!R34</f>
        <v>583.572856443553</v>
      </c>
      <c r="S87" s="376"/>
      <c r="T87" s="269">
        <f>'Year One Breakdown '!T34</f>
        <v>583.572856443553</v>
      </c>
      <c r="U87" s="376"/>
      <c r="V87" s="269">
        <f>'Year One Breakdown '!V34</f>
        <v>583.572856443553</v>
      </c>
      <c r="W87" s="376"/>
      <c r="X87" s="269">
        <f>'Year One Breakdown '!X34</f>
        <v>583.572856443553</v>
      </c>
      <c r="Y87" s="376"/>
      <c r="Z87" s="269">
        <f>'Year One Breakdown '!Z34</f>
        <v>583.572856443553</v>
      </c>
      <c r="AA87" s="269">
        <f>'Year One Breakdown '!AA34</f>
        <v>7002.874277322636</v>
      </c>
      <c r="AB87" s="382"/>
    </row>
    <row r="88" spans="1:28" s="271" customFormat="1" ht="4.5" customHeight="1">
      <c r="A88" s="383"/>
      <c r="B88" s="312"/>
      <c r="C88" s="380"/>
      <c r="D88" s="382"/>
      <c r="E88" s="380"/>
      <c r="F88" s="382"/>
      <c r="G88" s="380"/>
      <c r="H88" s="382"/>
      <c r="I88" s="380"/>
      <c r="J88" s="382"/>
      <c r="K88" s="380"/>
      <c r="L88" s="382"/>
      <c r="M88" s="380"/>
      <c r="N88" s="382"/>
      <c r="O88" s="380"/>
      <c r="P88" s="382"/>
      <c r="Q88" s="380"/>
      <c r="R88" s="382"/>
      <c r="S88" s="380"/>
      <c r="T88" s="382"/>
      <c r="U88" s="380"/>
      <c r="V88" s="382"/>
      <c r="W88" s="380"/>
      <c r="X88" s="382"/>
      <c r="Y88" s="380"/>
      <c r="Z88" s="382"/>
      <c r="AA88" s="382"/>
      <c r="AB88" s="382"/>
    </row>
    <row r="89" spans="1:28" s="271" customFormat="1" ht="3.75" customHeight="1">
      <c r="A89" s="387"/>
      <c r="B89" s="388"/>
      <c r="C89" s="389"/>
      <c r="D89" s="390"/>
      <c r="E89" s="389"/>
      <c r="F89" s="390"/>
      <c r="G89" s="389"/>
      <c r="H89" s="390"/>
      <c r="I89" s="389"/>
      <c r="J89" s="390"/>
      <c r="K89" s="389"/>
      <c r="L89" s="390"/>
      <c r="M89" s="389"/>
      <c r="N89" s="390"/>
      <c r="O89" s="389"/>
      <c r="P89" s="390"/>
      <c r="Q89" s="389"/>
      <c r="R89" s="390"/>
      <c r="S89" s="389"/>
      <c r="T89" s="390"/>
      <c r="U89" s="389"/>
      <c r="V89" s="390"/>
      <c r="W89" s="389"/>
      <c r="X89" s="390"/>
      <c r="Y89" s="389"/>
      <c r="Z89" s="390"/>
      <c r="AA89" s="390"/>
      <c r="AB89" s="390"/>
    </row>
    <row r="90" spans="1:28" s="394" customFormat="1" ht="11.25" customHeight="1">
      <c r="A90" s="391"/>
      <c r="B90" s="392" t="s">
        <v>265</v>
      </c>
      <c r="C90" s="375"/>
      <c r="D90" s="393">
        <f>'Year One Breakdown '!D36</f>
        <v>100416.42714355644</v>
      </c>
      <c r="E90" s="393"/>
      <c r="F90" s="393">
        <f>'Year One Breakdown '!F36</f>
        <v>-583.572856443553</v>
      </c>
      <c r="G90" s="393"/>
      <c r="H90" s="393">
        <f>'Year One Breakdown '!H36</f>
        <v>-583.572856443553</v>
      </c>
      <c r="I90" s="393"/>
      <c r="J90" s="393">
        <f>'Year One Breakdown '!J36</f>
        <v>-583.572856443553</v>
      </c>
      <c r="K90" s="393"/>
      <c r="L90" s="393">
        <f>'Year One Breakdown '!L36</f>
        <v>-583.572856443553</v>
      </c>
      <c r="M90" s="393"/>
      <c r="N90" s="393">
        <f>'Year One Breakdown '!N36</f>
        <v>-583.572856443553</v>
      </c>
      <c r="O90" s="393"/>
      <c r="P90" s="393">
        <f>'Year One Breakdown '!P36</f>
        <v>-583.572856443553</v>
      </c>
      <c r="Q90" s="393"/>
      <c r="R90" s="393">
        <f>'Year One Breakdown '!R36</f>
        <v>-583.572856443553</v>
      </c>
      <c r="S90" s="393"/>
      <c r="T90" s="393">
        <f>'Year One Breakdown '!T36</f>
        <v>-583.572856443553</v>
      </c>
      <c r="U90" s="393"/>
      <c r="V90" s="393">
        <f>'Year One Breakdown '!V36</f>
        <v>-583.572856443553</v>
      </c>
      <c r="W90" s="393"/>
      <c r="X90" s="393">
        <f>'Year One Breakdown '!X36</f>
        <v>-583.572856443553</v>
      </c>
      <c r="Y90" s="393"/>
      <c r="Z90" s="393">
        <f>'Year One Breakdown '!Z36</f>
        <v>-583.572856443553</v>
      </c>
      <c r="AA90" s="393">
        <f>'Year One Breakdown '!AA36</f>
        <v>93997.12572267733</v>
      </c>
      <c r="AB90" s="390"/>
    </row>
    <row r="91" spans="1:28" s="394" customFormat="1" ht="5.25" customHeight="1">
      <c r="A91" s="391"/>
      <c r="B91" s="391"/>
      <c r="C91" s="389"/>
      <c r="D91" s="390"/>
      <c r="E91" s="389"/>
      <c r="F91" s="390"/>
      <c r="G91" s="389"/>
      <c r="H91" s="390"/>
      <c r="I91" s="389"/>
      <c r="J91" s="390"/>
      <c r="K91" s="389"/>
      <c r="L91" s="390"/>
      <c r="M91" s="389"/>
      <c r="N91" s="390"/>
      <c r="O91" s="389"/>
      <c r="P91" s="390"/>
      <c r="Q91" s="389"/>
      <c r="R91" s="390"/>
      <c r="S91" s="389"/>
      <c r="T91" s="390"/>
      <c r="U91" s="389"/>
      <c r="V91" s="390"/>
      <c r="W91" s="389"/>
      <c r="X91" s="390"/>
      <c r="Y91" s="389"/>
      <c r="Z91" s="390"/>
      <c r="AA91" s="390"/>
      <c r="AB91" s="390"/>
    </row>
    <row r="92" spans="1:28" s="394" customFormat="1" ht="5.25" customHeight="1">
      <c r="A92" s="395"/>
      <c r="B92" s="395"/>
      <c r="C92" s="396"/>
      <c r="D92" s="397"/>
      <c r="E92" s="396"/>
      <c r="F92" s="397"/>
      <c r="G92" s="396"/>
      <c r="H92" s="397"/>
      <c r="I92" s="396"/>
      <c r="J92" s="397"/>
      <c r="K92" s="396"/>
      <c r="L92" s="397"/>
      <c r="M92" s="396"/>
      <c r="N92" s="397"/>
      <c r="O92" s="396"/>
      <c r="P92" s="397"/>
      <c r="Q92" s="396"/>
      <c r="R92" s="397"/>
      <c r="S92" s="396"/>
      <c r="T92" s="397"/>
      <c r="U92" s="396"/>
      <c r="V92" s="397"/>
      <c r="W92" s="396"/>
      <c r="X92" s="397"/>
      <c r="Y92" s="396"/>
      <c r="Z92" s="397"/>
      <c r="AA92" s="397"/>
      <c r="AB92" s="397"/>
    </row>
    <row r="93" spans="1:28" s="394" customFormat="1" ht="11.25" customHeight="1">
      <c r="A93" s="395"/>
      <c r="B93" s="392" t="s">
        <v>266</v>
      </c>
      <c r="C93" s="375"/>
      <c r="D93" s="393">
        <f>'Year One Breakdown '!D38</f>
        <v>100416.42714355644</v>
      </c>
      <c r="E93" s="398"/>
      <c r="F93" s="393">
        <f>'Year One Breakdown '!F38</f>
        <v>99832.85428711289</v>
      </c>
      <c r="G93" s="398"/>
      <c r="H93" s="393">
        <f>'Year One Breakdown '!H38</f>
        <v>99249.28143066933</v>
      </c>
      <c r="I93" s="398"/>
      <c r="J93" s="393">
        <f>'Year One Breakdown '!J38</f>
        <v>98665.70857422578</v>
      </c>
      <c r="K93" s="398"/>
      <c r="L93" s="393">
        <f>'Year One Breakdown '!L38</f>
        <v>98082.13571778222</v>
      </c>
      <c r="M93" s="398"/>
      <c r="N93" s="393">
        <f>'Year One Breakdown '!N38</f>
        <v>97498.56286133867</v>
      </c>
      <c r="O93" s="398"/>
      <c r="P93" s="393">
        <f>'Year One Breakdown '!P38</f>
        <v>96914.99000489511</v>
      </c>
      <c r="Q93" s="398"/>
      <c r="R93" s="393">
        <f>'Year One Breakdown '!R38</f>
        <v>96331.41714845155</v>
      </c>
      <c r="S93" s="398"/>
      <c r="T93" s="393">
        <f>'Year One Breakdown '!T38</f>
        <v>95747.844292008</v>
      </c>
      <c r="U93" s="398"/>
      <c r="V93" s="393">
        <f>'Year One Breakdown '!V38</f>
        <v>95164.27143556444</v>
      </c>
      <c r="W93" s="398"/>
      <c r="X93" s="393">
        <f>'Year One Breakdown '!X38</f>
        <v>94580.69857912089</v>
      </c>
      <c r="Y93" s="398"/>
      <c r="Z93" s="393">
        <f>'Year One Breakdown '!Z38</f>
        <v>93997.12572267733</v>
      </c>
      <c r="AA93" s="393">
        <f>'Year One Breakdown '!AA38</f>
        <v>0</v>
      </c>
      <c r="AB93" s="397"/>
    </row>
    <row r="94" spans="1:28" s="265" customFormat="1" ht="5.25" customHeight="1">
      <c r="A94" s="399"/>
      <c r="B94" s="400"/>
      <c r="C94" s="401"/>
      <c r="D94" s="400"/>
      <c r="E94" s="401"/>
      <c r="F94" s="400"/>
      <c r="G94" s="402"/>
      <c r="H94" s="400"/>
      <c r="I94" s="402"/>
      <c r="J94" s="400"/>
      <c r="K94" s="402"/>
      <c r="L94" s="403"/>
      <c r="M94" s="402"/>
      <c r="N94" s="400"/>
      <c r="O94" s="402"/>
      <c r="P94" s="403"/>
      <c r="Q94" s="402"/>
      <c r="R94" s="403"/>
      <c r="S94" s="402"/>
      <c r="T94" s="403"/>
      <c r="U94" s="402"/>
      <c r="V94" s="403"/>
      <c r="W94" s="402"/>
      <c r="X94" s="403"/>
      <c r="Y94" s="402"/>
      <c r="Z94" s="403"/>
      <c r="AA94" s="404"/>
      <c r="AB94" s="404"/>
    </row>
    <row r="95" ht="8.25" customHeight="1"/>
  </sheetData>
  <sheetProtection sheet="1"/>
  <mergeCells count="188">
    <mergeCell ref="O66:P66"/>
    <mergeCell ref="Q66:R66"/>
    <mergeCell ref="S66:T66"/>
    <mergeCell ref="U66:V66"/>
    <mergeCell ref="W66:X66"/>
    <mergeCell ref="Y66:Z66"/>
    <mergeCell ref="C66:D66"/>
    <mergeCell ref="E66:F66"/>
    <mergeCell ref="G66:H66"/>
    <mergeCell ref="I66:J66"/>
    <mergeCell ref="K66:L66"/>
    <mergeCell ref="M66:N66"/>
    <mergeCell ref="K61:N61"/>
    <mergeCell ref="O61:R61"/>
    <mergeCell ref="S61:V61"/>
    <mergeCell ref="B62:J62"/>
    <mergeCell ref="K62:N62"/>
    <mergeCell ref="O62:R62"/>
    <mergeCell ref="S62:V62"/>
    <mergeCell ref="B58:F58"/>
    <mergeCell ref="G58:J58"/>
    <mergeCell ref="K58:N58"/>
    <mergeCell ref="O58:R58"/>
    <mergeCell ref="S58:V58"/>
    <mergeCell ref="B59:J59"/>
    <mergeCell ref="K59:N59"/>
    <mergeCell ref="O59:R59"/>
    <mergeCell ref="S59:V59"/>
    <mergeCell ref="B56:F56"/>
    <mergeCell ref="G56:J56"/>
    <mergeCell ref="K56:N56"/>
    <mergeCell ref="O56:R56"/>
    <mergeCell ref="S56:V56"/>
    <mergeCell ref="B57:F57"/>
    <mergeCell ref="G57:J57"/>
    <mergeCell ref="K57:N57"/>
    <mergeCell ref="O57:R57"/>
    <mergeCell ref="S57:V57"/>
    <mergeCell ref="B54:F54"/>
    <mergeCell ref="G54:J54"/>
    <mergeCell ref="K54:N54"/>
    <mergeCell ref="O54:R54"/>
    <mergeCell ref="S54:V54"/>
    <mergeCell ref="B55:F55"/>
    <mergeCell ref="G55:J55"/>
    <mergeCell ref="K55:N55"/>
    <mergeCell ref="O55:R55"/>
    <mergeCell ref="S55:V55"/>
    <mergeCell ref="B52:F52"/>
    <mergeCell ref="G52:J52"/>
    <mergeCell ref="K52:N52"/>
    <mergeCell ref="O52:R52"/>
    <mergeCell ref="S52:V52"/>
    <mergeCell ref="B53:F53"/>
    <mergeCell ref="G53:J53"/>
    <mergeCell ref="K53:N53"/>
    <mergeCell ref="O53:R53"/>
    <mergeCell ref="S53:V53"/>
    <mergeCell ref="B50:F50"/>
    <mergeCell ref="G50:J50"/>
    <mergeCell ref="K50:N50"/>
    <mergeCell ref="O50:R50"/>
    <mergeCell ref="S50:V50"/>
    <mergeCell ref="B51:F51"/>
    <mergeCell ref="G51:J51"/>
    <mergeCell ref="K51:N51"/>
    <mergeCell ref="O51:R51"/>
    <mergeCell ref="S51:V51"/>
    <mergeCell ref="B48:F48"/>
    <mergeCell ref="G48:J48"/>
    <mergeCell ref="K48:N48"/>
    <mergeCell ref="O48:R48"/>
    <mergeCell ref="S48:V48"/>
    <mergeCell ref="B49:F49"/>
    <mergeCell ref="G49:J49"/>
    <mergeCell ref="K49:N49"/>
    <mergeCell ref="O49:R49"/>
    <mergeCell ref="S49:V49"/>
    <mergeCell ref="B46:F46"/>
    <mergeCell ref="G46:J46"/>
    <mergeCell ref="K46:N46"/>
    <mergeCell ref="O46:R46"/>
    <mergeCell ref="S46:V46"/>
    <mergeCell ref="B47:F47"/>
    <mergeCell ref="G47:J47"/>
    <mergeCell ref="K47:N47"/>
    <mergeCell ref="O47:R47"/>
    <mergeCell ref="S47:V47"/>
    <mergeCell ref="K44:N44"/>
    <mergeCell ref="O44:R44"/>
    <mergeCell ref="S44:V44"/>
    <mergeCell ref="B45:F45"/>
    <mergeCell ref="G45:J45"/>
    <mergeCell ref="K45:N45"/>
    <mergeCell ref="O45:R45"/>
    <mergeCell ref="S45:V45"/>
    <mergeCell ref="B40:J40"/>
    <mergeCell ref="K40:N40"/>
    <mergeCell ref="O40:R40"/>
    <mergeCell ref="S40:V40"/>
    <mergeCell ref="G43:J43"/>
    <mergeCell ref="K43:N43"/>
    <mergeCell ref="O43:R43"/>
    <mergeCell ref="S43:V43"/>
    <mergeCell ref="C38:F38"/>
    <mergeCell ref="G38:J38"/>
    <mergeCell ref="K38:N38"/>
    <mergeCell ref="O38:R38"/>
    <mergeCell ref="S38:V38"/>
    <mergeCell ref="B39:F39"/>
    <mergeCell ref="G39:J39"/>
    <mergeCell ref="K39:N39"/>
    <mergeCell ref="O39:R39"/>
    <mergeCell ref="S39:V39"/>
    <mergeCell ref="C36:F36"/>
    <mergeCell ref="G36:J36"/>
    <mergeCell ref="K36:N36"/>
    <mergeCell ref="O36:R36"/>
    <mergeCell ref="S36:V36"/>
    <mergeCell ref="C37:F37"/>
    <mergeCell ref="G37:J37"/>
    <mergeCell ref="K37:N37"/>
    <mergeCell ref="O37:R37"/>
    <mergeCell ref="S37:V37"/>
    <mergeCell ref="C34:F34"/>
    <mergeCell ref="G34:J34"/>
    <mergeCell ref="K34:N34"/>
    <mergeCell ref="O34:R34"/>
    <mergeCell ref="S34:V34"/>
    <mergeCell ref="C35:F35"/>
    <mergeCell ref="G35:J35"/>
    <mergeCell ref="K35:N35"/>
    <mergeCell ref="O35:R35"/>
    <mergeCell ref="S35:V35"/>
    <mergeCell ref="O24:R24"/>
    <mergeCell ref="S24:V24"/>
    <mergeCell ref="I25:R25"/>
    <mergeCell ref="S25:V25"/>
    <mergeCell ref="I28:R28"/>
    <mergeCell ref="S28:V28"/>
    <mergeCell ref="B22:N22"/>
    <mergeCell ref="O22:R22"/>
    <mergeCell ref="S22:V22"/>
    <mergeCell ref="B23:N23"/>
    <mergeCell ref="O23:R23"/>
    <mergeCell ref="S23:V23"/>
    <mergeCell ref="B20:N20"/>
    <mergeCell ref="O20:R20"/>
    <mergeCell ref="S20:V20"/>
    <mergeCell ref="B21:N21"/>
    <mergeCell ref="O21:R21"/>
    <mergeCell ref="S21:V21"/>
    <mergeCell ref="B18:N18"/>
    <mergeCell ref="O18:R18"/>
    <mergeCell ref="S18:V18"/>
    <mergeCell ref="B19:N19"/>
    <mergeCell ref="O19:R19"/>
    <mergeCell ref="S19:V19"/>
    <mergeCell ref="B16:N16"/>
    <mergeCell ref="O16:R16"/>
    <mergeCell ref="S16:V16"/>
    <mergeCell ref="B17:N17"/>
    <mergeCell ref="O17:R17"/>
    <mergeCell ref="S17:V17"/>
    <mergeCell ref="B14:N14"/>
    <mergeCell ref="O14:R14"/>
    <mergeCell ref="S14:V14"/>
    <mergeCell ref="B15:N15"/>
    <mergeCell ref="O15:R15"/>
    <mergeCell ref="S15:V15"/>
    <mergeCell ref="B11:F11"/>
    <mergeCell ref="O11:R11"/>
    <mergeCell ref="S12:V12"/>
    <mergeCell ref="B13:N13"/>
    <mergeCell ref="O13:R13"/>
    <mergeCell ref="S13:V13"/>
    <mergeCell ref="B7:R7"/>
    <mergeCell ref="S7:V7"/>
    <mergeCell ref="J8:R8"/>
    <mergeCell ref="S8:V8"/>
    <mergeCell ref="O10:R10"/>
    <mergeCell ref="S10:V10"/>
    <mergeCell ref="B3:F3"/>
    <mergeCell ref="S4:V4"/>
    <mergeCell ref="B5:R5"/>
    <mergeCell ref="S5:V5"/>
    <mergeCell ref="B6:R6"/>
    <mergeCell ref="S6:V6"/>
  </mergeCells>
  <printOptions/>
  <pageMargins left="0.39375" right="0.39375" top="0.393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I89"/>
  <sheetViews>
    <sheetView zoomScalePageLayoutView="0" workbookViewId="0" topLeftCell="A1">
      <selection activeCell="A1" sqref="A1"/>
    </sheetView>
  </sheetViews>
  <sheetFormatPr defaultColWidth="9.140625" defaultRowHeight="11.25" customHeight="1"/>
  <cols>
    <col min="1" max="1" width="1.1484375" style="359" customWidth="1"/>
    <col min="2" max="2" width="2.28125" style="359" customWidth="1"/>
    <col min="3" max="3" width="12.57421875" style="359" customWidth="1"/>
    <col min="4" max="4" width="7.140625" style="405" customWidth="1"/>
    <col min="5" max="5" width="21.57421875" style="359" customWidth="1"/>
    <col min="6" max="6" width="8.8515625" style="359" customWidth="1"/>
    <col min="7" max="7" width="7.57421875" style="359" customWidth="1"/>
    <col min="8" max="8" width="9.00390625" style="406" customWidth="1"/>
    <col min="9" max="9" width="8.421875" style="406" customWidth="1"/>
    <col min="10" max="10" width="8.7109375" style="406" customWidth="1"/>
    <col min="11" max="11" width="2.28125" style="359" customWidth="1"/>
    <col min="12" max="12" width="1.28515625" style="359" customWidth="1"/>
    <col min="13" max="13" width="9.140625" style="359" customWidth="1"/>
    <col min="14" max="14" width="11.421875" style="359" customWidth="1"/>
    <col min="15" max="15" width="24.00390625" style="359" customWidth="1"/>
    <col min="16" max="61" width="12.421875" style="359" customWidth="1"/>
    <col min="62" max="16384" width="9.140625" style="359" customWidth="1"/>
  </cols>
  <sheetData>
    <row r="1" spans="1:3" ht="15" customHeight="1">
      <c r="A1" s="598" t="s">
        <v>96</v>
      </c>
      <c r="B1" s="598"/>
      <c r="C1" s="598"/>
    </row>
    <row r="2" spans="1:12" s="410" customFormat="1" ht="4.5" customHeight="1">
      <c r="A2" s="407"/>
      <c r="B2" s="407"/>
      <c r="C2" s="407"/>
      <c r="D2" s="408"/>
      <c r="E2" s="407"/>
      <c r="F2" s="407"/>
      <c r="G2" s="407"/>
      <c r="H2" s="409"/>
      <c r="I2" s="409"/>
      <c r="J2" s="409"/>
      <c r="K2" s="407"/>
      <c r="L2" s="407"/>
    </row>
    <row r="3" spans="1:12" s="298" customFormat="1" ht="9" customHeight="1">
      <c r="A3" s="411"/>
      <c r="C3" s="337" t="s">
        <v>97</v>
      </c>
      <c r="D3" s="412"/>
      <c r="H3" s="413"/>
      <c r="I3" s="413"/>
      <c r="J3" s="413"/>
      <c r="L3" s="411"/>
    </row>
    <row r="4" spans="1:61" s="298" customFormat="1" ht="10.5" customHeight="1">
      <c r="A4" s="411"/>
      <c r="C4" s="414" t="s">
        <v>103</v>
      </c>
      <c r="D4" s="415" t="s">
        <v>99</v>
      </c>
      <c r="E4" s="415" t="s">
        <v>100</v>
      </c>
      <c r="F4" s="415" t="s">
        <v>101</v>
      </c>
      <c r="G4" s="415" t="s">
        <v>102</v>
      </c>
      <c r="H4" s="416" t="s">
        <v>105</v>
      </c>
      <c r="I4" s="416" t="s">
        <v>106</v>
      </c>
      <c r="J4" s="416" t="s">
        <v>107</v>
      </c>
      <c r="L4" s="411"/>
      <c r="O4" s="417"/>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row>
    <row r="5" spans="1:61" s="298" customFormat="1" ht="9" customHeight="1">
      <c r="A5" s="411"/>
      <c r="C5" s="412" t="str">
        <f>IF(Loans!I8&lt;&gt;0,Loans!I8,"")</f>
        <v>variable</v>
      </c>
      <c r="D5" s="419">
        <f>Loans!E8</f>
        <v>30</v>
      </c>
      <c r="E5" s="420" t="str">
        <f>Loans!F8</f>
        <v>EBS Mortgage</v>
      </c>
      <c r="F5" s="421">
        <f>Loans!G8</f>
        <v>100000</v>
      </c>
      <c r="G5" s="422">
        <f>Loans!H8</f>
        <v>0.0575</v>
      </c>
      <c r="H5" s="413">
        <f>Loans!K8</f>
        <v>583.572856443553</v>
      </c>
      <c r="I5" s="413">
        <f>Loans!L8</f>
        <v>7002.874277322635</v>
      </c>
      <c r="J5" s="413">
        <f>Loans!M8</f>
        <v>210086.22831967904</v>
      </c>
      <c r="K5" s="423"/>
      <c r="L5" s="411"/>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row>
    <row r="6" spans="1:61" s="298" customFormat="1" ht="9" customHeight="1">
      <c r="A6" s="411"/>
      <c r="C6" s="412" t="str">
        <f>IF(Loans!I9&lt;&gt;0,Loans!I9,"")</f>
        <v>fixed</v>
      </c>
      <c r="D6" s="419">
        <f>Loans!E9</f>
        <v>15</v>
      </c>
      <c r="E6" s="420" t="str">
        <f>Loans!F9</f>
        <v>Radical Routes Loan</v>
      </c>
      <c r="F6" s="421">
        <f>Loans!G9</f>
        <v>0</v>
      </c>
      <c r="G6" s="422">
        <f>Loans!H9</f>
        <v>0.06</v>
      </c>
      <c r="H6" s="413">
        <f>Loans!K9</f>
        <v>0</v>
      </c>
      <c r="I6" s="413">
        <f>Loans!L9</f>
        <v>0</v>
      </c>
      <c r="J6" s="413">
        <f>Loans!M9</f>
        <v>0</v>
      </c>
      <c r="K6" s="423"/>
      <c r="L6" s="411"/>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s="298" customFormat="1" ht="9" customHeight="1">
      <c r="A7" s="411"/>
      <c r="C7" s="412">
        <f>IF(Loans!I10&lt;&gt;0,Loans!I10,"")</f>
      </c>
      <c r="D7" s="419">
        <f>Loans!E10</f>
        <v>0</v>
      </c>
      <c r="E7" s="420">
        <f>Loans!F10</f>
        <v>0</v>
      </c>
      <c r="F7" s="421">
        <f>Loans!G10</f>
        <v>0</v>
      </c>
      <c r="G7" s="422">
        <f>Loans!H10</f>
        <v>0</v>
      </c>
      <c r="H7" s="413">
        <f>Loans!K10</f>
        <v>0</v>
      </c>
      <c r="I7" s="413">
        <f>Loans!L10</f>
        <v>0</v>
      </c>
      <c r="J7" s="413">
        <f>Loans!M10</f>
        <v>0</v>
      </c>
      <c r="K7" s="423"/>
      <c r="L7" s="411"/>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row>
    <row r="8" spans="1:61" s="298" customFormat="1" ht="9" customHeight="1">
      <c r="A8" s="411"/>
      <c r="C8" s="412">
        <f>IF(Loans!I11&lt;&gt;0,Loans!I11,"")</f>
      </c>
      <c r="D8" s="419">
        <f>Loans!E11</f>
        <v>0</v>
      </c>
      <c r="E8" s="420">
        <f>Loans!F11</f>
        <v>0</v>
      </c>
      <c r="F8" s="421">
        <f>Loans!G11</f>
        <v>0</v>
      </c>
      <c r="G8" s="422">
        <f>Loans!H11</f>
        <v>0</v>
      </c>
      <c r="H8" s="413">
        <f>Loans!K11</f>
        <v>0</v>
      </c>
      <c r="I8" s="413">
        <f>Loans!L11</f>
        <v>0</v>
      </c>
      <c r="J8" s="413">
        <f>Loans!M11</f>
        <v>0</v>
      </c>
      <c r="K8" s="423"/>
      <c r="L8" s="411"/>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12" s="298" customFormat="1" ht="9.75" customHeight="1">
      <c r="A9" s="411"/>
      <c r="D9" s="424"/>
      <c r="E9" s="423"/>
      <c r="F9" s="425">
        <f>Loans!G12</f>
        <v>100000</v>
      </c>
      <c r="G9" s="426"/>
      <c r="H9" s="427">
        <f>Loans!K12</f>
        <v>583.572856443553</v>
      </c>
      <c r="I9" s="427">
        <f>Loans!L12</f>
        <v>7002.874277322635</v>
      </c>
      <c r="J9" s="427">
        <f>Loans!M12</f>
        <v>210086.22831967904</v>
      </c>
      <c r="K9" s="423"/>
      <c r="L9" s="411"/>
    </row>
    <row r="10" spans="1:12" s="298" customFormat="1" ht="4.5" customHeight="1">
      <c r="A10" s="411"/>
      <c r="B10" s="411"/>
      <c r="C10" s="411"/>
      <c r="D10" s="428"/>
      <c r="E10" s="429"/>
      <c r="F10" s="429"/>
      <c r="G10" s="429"/>
      <c r="H10" s="430"/>
      <c r="I10" s="431"/>
      <c r="J10" s="430"/>
      <c r="K10" s="429"/>
      <c r="L10" s="411"/>
    </row>
    <row r="11" spans="1:12" s="298" customFormat="1" ht="4.5" customHeight="1">
      <c r="A11" s="432"/>
      <c r="B11" s="432"/>
      <c r="C11" s="432"/>
      <c r="D11" s="432"/>
      <c r="E11" s="432"/>
      <c r="F11" s="432"/>
      <c r="G11" s="432"/>
      <c r="H11" s="433"/>
      <c r="I11" s="433"/>
      <c r="J11" s="433"/>
      <c r="K11" s="432"/>
      <c r="L11" s="432"/>
    </row>
    <row r="12" spans="1:15" s="298" customFormat="1" ht="9" customHeight="1">
      <c r="A12" s="432"/>
      <c r="C12" s="337" t="s">
        <v>267</v>
      </c>
      <c r="D12" s="412"/>
      <c r="H12" s="413"/>
      <c r="I12" s="413"/>
      <c r="J12" s="413"/>
      <c r="L12" s="432"/>
      <c r="O12" s="337"/>
    </row>
    <row r="13" spans="1:17" s="298" customFormat="1" ht="10.5" customHeight="1">
      <c r="A13" s="432"/>
      <c r="C13" s="414" t="s">
        <v>129</v>
      </c>
      <c r="D13" s="415" t="s">
        <v>99</v>
      </c>
      <c r="E13" s="415" t="s">
        <v>100</v>
      </c>
      <c r="F13" s="415" t="s">
        <v>101</v>
      </c>
      <c r="G13" s="415" t="s">
        <v>102</v>
      </c>
      <c r="H13" s="416" t="s">
        <v>105</v>
      </c>
      <c r="I13" s="416" t="s">
        <v>106</v>
      </c>
      <c r="J13" s="416" t="s">
        <v>107</v>
      </c>
      <c r="L13" s="432"/>
      <c r="O13" s="434"/>
      <c r="P13" s="435"/>
      <c r="Q13" s="434"/>
    </row>
    <row r="14" spans="1:17" s="298" customFormat="1" ht="9" customHeight="1">
      <c r="A14" s="432"/>
      <c r="C14" s="436">
        <f>IF(Loans!D25&lt;&gt;0,Loans!D25,"")</f>
      </c>
      <c r="D14" s="437">
        <f>Loans!E25</f>
        <v>1</v>
      </c>
      <c r="E14" s="436">
        <f>IF(Loans!F25&lt;&gt;0,"Data Witheld","")</f>
      </c>
      <c r="F14" s="438">
        <f>IF(Loans!G25&lt;&gt;0,Loans!G25,"")</f>
        <v>1000</v>
      </c>
      <c r="G14" s="439">
        <f>Loans!H25</f>
        <v>0</v>
      </c>
      <c r="H14" s="440">
        <f>Loans!K25</f>
        <v>83.33333333333333</v>
      </c>
      <c r="I14" s="440">
        <f>H14*12</f>
        <v>1000</v>
      </c>
      <c r="J14" s="440">
        <f>Loans!M25</f>
        <v>1000</v>
      </c>
      <c r="L14" s="432"/>
      <c r="O14" s="434"/>
      <c r="P14" s="441"/>
      <c r="Q14" s="434"/>
    </row>
    <row r="15" spans="1:17" s="298" customFormat="1" ht="9" customHeight="1">
      <c r="A15" s="432"/>
      <c r="C15" s="436">
        <f>IF(Loans!D26&lt;&gt;0,Loans!D26,"")</f>
      </c>
      <c r="D15" s="437"/>
      <c r="E15" s="436">
        <f>IF(Loans!F26&lt;&gt;0,"Data Witheld","")</f>
      </c>
      <c r="F15" s="438">
        <f>IF(Loans!G26&lt;&gt;0,Loans!G26,"")</f>
      </c>
      <c r="G15" s="439">
        <f>Loans!H26</f>
        <v>0.01</v>
      </c>
      <c r="H15" s="440">
        <f>Loans!K26</f>
        <v>0</v>
      </c>
      <c r="I15" s="440">
        <f>H15*12</f>
        <v>0</v>
      </c>
      <c r="J15" s="440">
        <f>Loans!M26</f>
        <v>0</v>
      </c>
      <c r="L15" s="432"/>
      <c r="O15" s="434"/>
      <c r="P15" s="434"/>
      <c r="Q15" s="434"/>
    </row>
    <row r="16" spans="1:17" s="298" customFormat="1" ht="9" customHeight="1">
      <c r="A16" s="432"/>
      <c r="C16" s="436">
        <f>IF(Loans!D27&lt;&gt;0,Loans!D27,"")</f>
      </c>
      <c r="D16" s="437"/>
      <c r="E16" s="436">
        <f>IF(Loans!F27&lt;&gt;0,"Data Witheld","")</f>
      </c>
      <c r="F16" s="438">
        <f>IF(Loans!G27&lt;&gt;0,Loans!G27,"")</f>
      </c>
      <c r="G16" s="439">
        <f>Loans!H27</f>
        <v>0.02</v>
      </c>
      <c r="H16" s="440">
        <f>Loans!K27</f>
        <v>0</v>
      </c>
      <c r="I16" s="440">
        <f>H16*12</f>
        <v>0</v>
      </c>
      <c r="J16" s="440">
        <f>Loans!M27</f>
        <v>0</v>
      </c>
      <c r="L16" s="432"/>
      <c r="O16" s="434"/>
      <c r="P16" s="434"/>
      <c r="Q16" s="434"/>
    </row>
    <row r="17" spans="1:12" s="298" customFormat="1" ht="9" customHeight="1">
      <c r="A17" s="432"/>
      <c r="C17" s="436">
        <f>IF(Loans!D28&lt;&gt;0,Loans!D28,"")</f>
      </c>
      <c r="D17" s="437"/>
      <c r="E17" s="436">
        <f>IF(Loans!F28&lt;&gt;0,"Data Witheld","")</f>
      </c>
      <c r="F17" s="438">
        <f>IF(Loans!G28&lt;&gt;0,Loans!G28,"")</f>
      </c>
      <c r="G17" s="439">
        <f>Loans!H28</f>
        <v>0.03</v>
      </c>
      <c r="H17" s="440">
        <f>Loans!K28</f>
        <v>0</v>
      </c>
      <c r="I17" s="440">
        <f>H17*12</f>
        <v>0</v>
      </c>
      <c r="J17" s="440">
        <f>Loans!M28</f>
        <v>0</v>
      </c>
      <c r="L17" s="432"/>
    </row>
    <row r="18" spans="1:12" s="298" customFormat="1" ht="9" customHeight="1">
      <c r="A18" s="432"/>
      <c r="C18" s="436">
        <f>IF(Loans!D29&lt;&gt;0,Loans!D29,"")</f>
      </c>
      <c r="D18" s="437"/>
      <c r="E18" s="436">
        <f>IF(Loans!F29&lt;&gt;0,"Data Witheld","")</f>
      </c>
      <c r="F18" s="438">
        <f>IF(Loans!G29&lt;&gt;0,Loans!G29,"")</f>
      </c>
      <c r="G18" s="439">
        <f>Loans!H29</f>
        <v>0.04</v>
      </c>
      <c r="H18" s="440">
        <f>Loans!K29</f>
        <v>0</v>
      </c>
      <c r="I18" s="440">
        <f>H18*12</f>
        <v>0</v>
      </c>
      <c r="J18" s="440">
        <f>Loans!M29</f>
        <v>0</v>
      </c>
      <c r="L18" s="432"/>
    </row>
    <row r="19" spans="1:12" s="298" customFormat="1" ht="9" customHeight="1">
      <c r="A19" s="432"/>
      <c r="C19" s="442"/>
      <c r="D19" s="412"/>
      <c r="E19" s="299" t="str">
        <f>D14&amp;" Year Sub Total"</f>
        <v>1 Year Sub Total</v>
      </c>
      <c r="F19" s="443">
        <f>Loans!G30</f>
        <v>1000</v>
      </c>
      <c r="G19" s="444"/>
      <c r="H19" s="443">
        <f>Loans!K30</f>
        <v>83.33333333333333</v>
      </c>
      <c r="I19" s="443">
        <f>Loans!L30</f>
        <v>1000</v>
      </c>
      <c r="J19" s="443">
        <f>Loans!M30</f>
        <v>1000</v>
      </c>
      <c r="L19" s="432"/>
    </row>
    <row r="20" spans="1:12" s="298" customFormat="1" ht="9" customHeight="1">
      <c r="A20" s="432"/>
      <c r="C20" s="436">
        <f>IF(Loans!D32&lt;&gt;0,Loans!D32,"")</f>
      </c>
      <c r="D20" s="437">
        <f>Loans!E32</f>
        <v>5</v>
      </c>
      <c r="E20" s="436">
        <f>IF(Loans!F32&lt;&gt;0,"Data Witheld","")</f>
      </c>
      <c r="F20" s="438">
        <f>IF(Loans!G32&lt;&gt;0,Loans!G32,"")</f>
      </c>
      <c r="G20" s="439">
        <f>Loans!H32</f>
        <v>0</v>
      </c>
      <c r="H20" s="440">
        <f>Loans!K32</f>
        <v>0</v>
      </c>
      <c r="I20" s="440">
        <f>H20*12</f>
        <v>0</v>
      </c>
      <c r="J20" s="440">
        <f>Loans!M32</f>
        <v>0</v>
      </c>
      <c r="L20" s="432"/>
    </row>
    <row r="21" spans="1:12" s="298" customFormat="1" ht="9" customHeight="1">
      <c r="A21" s="432"/>
      <c r="C21" s="436">
        <f>IF(Loans!D33&lt;&gt;0,Loans!D33,"")</f>
      </c>
      <c r="D21" s="437"/>
      <c r="E21" s="436">
        <f>IF(Loans!F33&lt;&gt;0,"Data Witheld","")</f>
      </c>
      <c r="F21" s="438">
        <f>IF(Loans!G33&lt;&gt;0,Loans!G33,"")</f>
      </c>
      <c r="G21" s="439">
        <f>Loans!H33</f>
        <v>0.01</v>
      </c>
      <c r="H21" s="440">
        <f>Loans!K33</f>
        <v>0</v>
      </c>
      <c r="I21" s="440">
        <f>H21*12</f>
        <v>0</v>
      </c>
      <c r="J21" s="440">
        <f>Loans!M33</f>
        <v>0</v>
      </c>
      <c r="L21" s="432"/>
    </row>
    <row r="22" spans="1:12" s="298" customFormat="1" ht="9" customHeight="1">
      <c r="A22" s="432"/>
      <c r="C22" s="436">
        <f>IF(Loans!D34&lt;&gt;0,Loans!D34,"")</f>
      </c>
      <c r="D22" s="437"/>
      <c r="E22" s="436">
        <f>IF(Loans!F34&lt;&gt;0,"Data Witheld","")</f>
      </c>
      <c r="F22" s="438">
        <f>IF(Loans!G34&lt;&gt;0,Loans!G34,"")</f>
      </c>
      <c r="G22" s="439">
        <f>Loans!H34</f>
        <v>0.02</v>
      </c>
      <c r="H22" s="440">
        <f>Loans!K34</f>
        <v>0</v>
      </c>
      <c r="I22" s="440">
        <f>H22*12</f>
        <v>0</v>
      </c>
      <c r="J22" s="440">
        <f>Loans!M34</f>
        <v>0</v>
      </c>
      <c r="L22" s="432"/>
    </row>
    <row r="23" spans="1:12" s="298" customFormat="1" ht="9" customHeight="1">
      <c r="A23" s="432"/>
      <c r="C23" s="436">
        <f>IF(Loans!D35&lt;&gt;0,Loans!D35,"")</f>
      </c>
      <c r="D23" s="437"/>
      <c r="E23" s="436">
        <f>IF(Loans!F35&lt;&gt;0,"Data Witheld","")</f>
      </c>
      <c r="F23" s="438">
        <f>IF(Loans!G35&lt;&gt;0,Loans!G35,"")</f>
      </c>
      <c r="G23" s="439">
        <f>Loans!H35</f>
        <v>0.03</v>
      </c>
      <c r="H23" s="440">
        <f>Loans!K35</f>
        <v>0</v>
      </c>
      <c r="I23" s="440">
        <f>H23*12</f>
        <v>0</v>
      </c>
      <c r="J23" s="440">
        <f>Loans!M35</f>
        <v>0</v>
      </c>
      <c r="L23" s="432"/>
    </row>
    <row r="24" spans="1:12" s="298" customFormat="1" ht="9" customHeight="1">
      <c r="A24" s="432"/>
      <c r="C24" s="436">
        <f>IF(Loans!D36&lt;&gt;0,Loans!D36,"")</f>
      </c>
      <c r="D24" s="437"/>
      <c r="E24" s="436">
        <f>IF(Loans!F36&lt;&gt;0,"Data Witheld","")</f>
      </c>
      <c r="F24" s="438">
        <f>IF(Loans!G36&lt;&gt;0,Loans!G36,"")</f>
      </c>
      <c r="G24" s="439">
        <f>Loans!H36</f>
        <v>0.04</v>
      </c>
      <c r="H24" s="440">
        <f>Loans!K36</f>
        <v>0</v>
      </c>
      <c r="I24" s="440">
        <f>H24*12</f>
        <v>0</v>
      </c>
      <c r="J24" s="440">
        <f>Loans!M36</f>
        <v>0</v>
      </c>
      <c r="L24" s="432"/>
    </row>
    <row r="25" spans="1:12" s="298" customFormat="1" ht="9" customHeight="1">
      <c r="A25" s="432"/>
      <c r="C25" s="442"/>
      <c r="D25" s="412"/>
      <c r="E25" s="299" t="str">
        <f>D20&amp;" Year Sub Total"</f>
        <v>5 Year Sub Total</v>
      </c>
      <c r="F25" s="443">
        <f>Loans!G37</f>
        <v>0</v>
      </c>
      <c r="G25" s="444"/>
      <c r="H25" s="445">
        <f>Loans!K37</f>
        <v>0</v>
      </c>
      <c r="I25" s="445">
        <f>Loans!L37</f>
        <v>0</v>
      </c>
      <c r="J25" s="445">
        <f>Loans!M37</f>
        <v>0</v>
      </c>
      <c r="L25" s="432"/>
    </row>
    <row r="26" spans="1:12" s="298" customFormat="1" ht="9" customHeight="1">
      <c r="A26" s="432"/>
      <c r="C26" s="436">
        <f>IF(Loans!D39&lt;&gt;0,Loans!D39,"")</f>
      </c>
      <c r="D26" s="437">
        <f>Loans!E39</f>
        <v>10</v>
      </c>
      <c r="E26" s="436">
        <f>IF(Loans!F39&lt;&gt;0,"Data Witheld","")</f>
      </c>
      <c r="F26" s="438">
        <f>IF(Loans!G39&lt;&gt;0,Loans!G39,"")</f>
      </c>
      <c r="G26" s="439">
        <f>Loans!H39</f>
        <v>0</v>
      </c>
      <c r="H26" s="440">
        <f>Loans!K39</f>
        <v>0</v>
      </c>
      <c r="I26" s="440">
        <f>H26*12</f>
        <v>0</v>
      </c>
      <c r="J26" s="440">
        <f>Loans!M39</f>
        <v>0</v>
      </c>
      <c r="L26" s="432"/>
    </row>
    <row r="27" spans="1:12" s="298" customFormat="1" ht="9" customHeight="1">
      <c r="A27" s="432"/>
      <c r="C27" s="436">
        <f>IF(Loans!D40&lt;&gt;0,Loans!D40,"")</f>
      </c>
      <c r="D27" s="437"/>
      <c r="E27" s="436">
        <f>IF(Loans!F40&lt;&gt;0,"Data Witheld","")</f>
      </c>
      <c r="F27" s="438">
        <f>IF(Loans!G40&lt;&gt;0,Loans!G40,"")</f>
      </c>
      <c r="G27" s="439">
        <f>Loans!H40</f>
        <v>0.01</v>
      </c>
      <c r="H27" s="440">
        <f>Loans!K40</f>
        <v>0</v>
      </c>
      <c r="I27" s="440">
        <f>H27*12</f>
        <v>0</v>
      </c>
      <c r="J27" s="440">
        <f>Loans!M40</f>
        <v>0</v>
      </c>
      <c r="L27" s="432"/>
    </row>
    <row r="28" spans="1:12" s="298" customFormat="1" ht="9" customHeight="1">
      <c r="A28" s="432"/>
      <c r="C28" s="436">
        <f>IF(Loans!D41&lt;&gt;0,Loans!D41,"")</f>
      </c>
      <c r="D28" s="437"/>
      <c r="E28" s="436">
        <f>IF(Loans!F41&lt;&gt;0,"Data Witheld","")</f>
      </c>
      <c r="F28" s="438">
        <f>IF(Loans!G41&lt;&gt;0,Loans!G41,"")</f>
      </c>
      <c r="G28" s="439">
        <f>Loans!H41</f>
        <v>0.02</v>
      </c>
      <c r="H28" s="440">
        <f>Loans!K41</f>
        <v>0</v>
      </c>
      <c r="I28" s="440">
        <f>H28*12</f>
        <v>0</v>
      </c>
      <c r="J28" s="440">
        <f>Loans!M41</f>
        <v>0</v>
      </c>
      <c r="L28" s="432"/>
    </row>
    <row r="29" spans="1:12" s="298" customFormat="1" ht="9" customHeight="1">
      <c r="A29" s="432"/>
      <c r="C29" s="436">
        <f>IF(Loans!D42&lt;&gt;0,Loans!D42,"")</f>
      </c>
      <c r="D29" s="437"/>
      <c r="E29" s="436">
        <f>IF(Loans!F42&lt;&gt;0,"Data Witheld","")</f>
      </c>
      <c r="F29" s="438">
        <f>IF(Loans!G42&lt;&gt;0,Loans!G42,"")</f>
      </c>
      <c r="G29" s="439">
        <f>Loans!H42</f>
        <v>0.03</v>
      </c>
      <c r="H29" s="440">
        <f>Loans!K42</f>
        <v>0</v>
      </c>
      <c r="I29" s="440">
        <f>H29*12</f>
        <v>0</v>
      </c>
      <c r="J29" s="440">
        <f>Loans!M42</f>
        <v>0</v>
      </c>
      <c r="L29" s="432"/>
    </row>
    <row r="30" spans="1:12" s="298" customFormat="1" ht="9" customHeight="1">
      <c r="A30" s="432"/>
      <c r="C30" s="436">
        <f>IF(Loans!D43&lt;&gt;0,Loans!D43,"")</f>
      </c>
      <c r="D30" s="437"/>
      <c r="E30" s="436">
        <f>IF(Loans!F43&lt;&gt;0,"Data Witheld","")</f>
      </c>
      <c r="F30" s="438">
        <f>IF(Loans!G43&lt;&gt;0,Loans!G43,"")</f>
      </c>
      <c r="G30" s="439">
        <f>Loans!H43</f>
        <v>0.04</v>
      </c>
      <c r="H30" s="440">
        <f>Loans!K43</f>
        <v>0</v>
      </c>
      <c r="I30" s="440">
        <f>H30*12</f>
        <v>0</v>
      </c>
      <c r="J30" s="440">
        <f>Loans!M43</f>
        <v>0</v>
      </c>
      <c r="L30" s="432"/>
    </row>
    <row r="31" spans="1:12" s="298" customFormat="1" ht="9" customHeight="1">
      <c r="A31" s="432"/>
      <c r="C31" s="442"/>
      <c r="D31" s="412"/>
      <c r="E31" s="299" t="str">
        <f>D26&amp;" Year Sub Total"</f>
        <v>10 Year Sub Total</v>
      </c>
      <c r="F31" s="443">
        <f>Loans!G44</f>
        <v>0</v>
      </c>
      <c r="G31" s="444"/>
      <c r="H31" s="445">
        <f>Loans!K44</f>
        <v>0</v>
      </c>
      <c r="I31" s="445">
        <f>Loans!L44</f>
        <v>0</v>
      </c>
      <c r="J31" s="445">
        <f>Loans!M44</f>
        <v>0</v>
      </c>
      <c r="L31" s="432"/>
    </row>
    <row r="32" spans="1:12" s="298" customFormat="1" ht="9" customHeight="1">
      <c r="A32" s="432"/>
      <c r="C32" s="436">
        <f>IF(Loans!D46&lt;&gt;0,Loans!D46,"")</f>
      </c>
      <c r="D32" s="437">
        <f>Loans!E46</f>
        <v>15</v>
      </c>
      <c r="E32" s="436">
        <f>IF(Loans!F46&lt;&gt;0,"Data Witheld","")</f>
      </c>
      <c r="F32" s="438">
        <f>IF(Loans!G46&lt;&gt;0,Loans!G46,"")</f>
      </c>
      <c r="G32" s="439">
        <f>Loans!H46</f>
        <v>0</v>
      </c>
      <c r="H32" s="440">
        <f>Loans!K46</f>
        <v>0</v>
      </c>
      <c r="I32" s="440">
        <f>H32*12</f>
        <v>0</v>
      </c>
      <c r="J32" s="440">
        <f>Loans!M46</f>
        <v>0</v>
      </c>
      <c r="L32" s="432"/>
    </row>
    <row r="33" spans="1:12" s="298" customFormat="1" ht="9" customHeight="1">
      <c r="A33" s="432"/>
      <c r="C33" s="436">
        <f>IF(Loans!D47&lt;&gt;0,Loans!D47,"")</f>
      </c>
      <c r="D33" s="437"/>
      <c r="E33" s="436">
        <f>IF(Loans!F47&lt;&gt;0,"Data Witheld","")</f>
      </c>
      <c r="F33" s="438">
        <f>IF(Loans!G47&lt;&gt;0,Loans!G47,"")</f>
      </c>
      <c r="G33" s="439">
        <f>Loans!H47</f>
        <v>0.01</v>
      </c>
      <c r="H33" s="440">
        <f>Loans!K47</f>
        <v>0</v>
      </c>
      <c r="I33" s="440">
        <f>H33*12</f>
        <v>0</v>
      </c>
      <c r="J33" s="440">
        <f>Loans!M47</f>
        <v>0</v>
      </c>
      <c r="L33" s="432"/>
    </row>
    <row r="34" spans="1:12" s="298" customFormat="1" ht="9" customHeight="1">
      <c r="A34" s="432"/>
      <c r="C34" s="436">
        <f>IF(Loans!D48&lt;&gt;0,Loans!D48,"")</f>
      </c>
      <c r="D34" s="437"/>
      <c r="E34" s="436">
        <f>IF(Loans!F48&lt;&gt;0,"Data Witheld","")</f>
      </c>
      <c r="F34" s="438">
        <f>IF(Loans!G48&lt;&gt;0,Loans!G48,"")</f>
      </c>
      <c r="G34" s="439">
        <f>Loans!H48</f>
        <v>0.02</v>
      </c>
      <c r="H34" s="440">
        <f>Loans!K48</f>
        <v>0</v>
      </c>
      <c r="I34" s="440">
        <f>H34*12</f>
        <v>0</v>
      </c>
      <c r="J34" s="440">
        <f>Loans!M48</f>
        <v>0</v>
      </c>
      <c r="L34" s="432"/>
    </row>
    <row r="35" spans="1:12" s="298" customFormat="1" ht="9" customHeight="1">
      <c r="A35" s="432"/>
      <c r="C35" s="436">
        <f>IF(Loans!D49&lt;&gt;0,Loans!D49,"")</f>
      </c>
      <c r="D35" s="437"/>
      <c r="E35" s="436">
        <f>IF(Loans!F49&lt;&gt;0,"Data Witheld","")</f>
      </c>
      <c r="F35" s="438">
        <f>IF(Loans!G49&lt;&gt;0,Loans!G49,"")</f>
      </c>
      <c r="G35" s="439">
        <f>Loans!H49</f>
        <v>0.03</v>
      </c>
      <c r="H35" s="440">
        <f>Loans!K49</f>
        <v>0</v>
      </c>
      <c r="I35" s="440">
        <f>H35*12</f>
        <v>0</v>
      </c>
      <c r="J35" s="440">
        <f>Loans!M49</f>
        <v>0</v>
      </c>
      <c r="L35" s="432"/>
    </row>
    <row r="36" spans="1:12" s="298" customFormat="1" ht="9" customHeight="1">
      <c r="A36" s="432"/>
      <c r="C36" s="436">
        <f>IF(Loans!D50&lt;&gt;0,Loans!D50,"")</f>
      </c>
      <c r="D36" s="437"/>
      <c r="E36" s="436">
        <f>IF(Loans!F50&lt;&gt;0,"Data Witheld","")</f>
      </c>
      <c r="F36" s="438">
        <f>IF(Loans!G50&lt;&gt;0,Loans!G50,"")</f>
      </c>
      <c r="G36" s="439">
        <f>Loans!H50</f>
        <v>0.04</v>
      </c>
      <c r="H36" s="440">
        <f>Loans!K50</f>
        <v>0</v>
      </c>
      <c r="I36" s="440">
        <f>H36*12</f>
        <v>0</v>
      </c>
      <c r="J36" s="440">
        <f>Loans!M50</f>
        <v>0</v>
      </c>
      <c r="L36" s="432"/>
    </row>
    <row r="37" spans="1:12" s="298" customFormat="1" ht="9" customHeight="1">
      <c r="A37" s="432"/>
      <c r="C37" s="442"/>
      <c r="D37" s="412"/>
      <c r="E37" s="299" t="str">
        <f>D32&amp;" Year Sub Total"</f>
        <v>15 Year Sub Total</v>
      </c>
      <c r="F37" s="443">
        <f>Loans!G51</f>
        <v>0</v>
      </c>
      <c r="G37" s="444"/>
      <c r="H37" s="445">
        <f>Loans!K51</f>
        <v>0</v>
      </c>
      <c r="I37" s="445">
        <f>Loans!L51</f>
        <v>0</v>
      </c>
      <c r="J37" s="445">
        <f>Loans!M51</f>
        <v>0</v>
      </c>
      <c r="L37" s="432"/>
    </row>
    <row r="38" spans="1:12" s="298" customFormat="1" ht="9" customHeight="1">
      <c r="A38" s="432"/>
      <c r="C38" s="436">
        <f>IF(Loans!D53&lt;&gt;0,Loans!D53,"")</f>
      </c>
      <c r="D38" s="437">
        <f>Loans!E53</f>
        <v>20</v>
      </c>
      <c r="E38" s="436">
        <f>IF(Loans!F53&lt;&gt;0,"Data Witheld","")</f>
      </c>
      <c r="F38" s="438">
        <f>IF(Loans!G53&lt;&gt;0,Loans!G53,"")</f>
      </c>
      <c r="G38" s="439">
        <f>Loans!H53</f>
        <v>0</v>
      </c>
      <c r="H38" s="440">
        <f>Loans!K53</f>
        <v>0</v>
      </c>
      <c r="I38" s="440">
        <f>H38*12</f>
        <v>0</v>
      </c>
      <c r="J38" s="440">
        <f>Loans!M53</f>
        <v>0</v>
      </c>
      <c r="L38" s="432"/>
    </row>
    <row r="39" spans="1:12" s="298" customFormat="1" ht="9" customHeight="1">
      <c r="A39" s="432"/>
      <c r="C39" s="436">
        <f>IF(Loans!D54&lt;&gt;0,Loans!D54,"")</f>
      </c>
      <c r="D39" s="437"/>
      <c r="E39" s="436">
        <f>IF(Loans!F54&lt;&gt;0,"Data Witheld","")</f>
      </c>
      <c r="F39" s="438">
        <f>IF(Loans!G54&lt;&gt;0,Loans!G54,"")</f>
      </c>
      <c r="G39" s="439">
        <f>Loans!H54</f>
        <v>0.01</v>
      </c>
      <c r="H39" s="440">
        <f>Loans!K54</f>
        <v>0</v>
      </c>
      <c r="I39" s="440">
        <f>H39*12</f>
        <v>0</v>
      </c>
      <c r="J39" s="440">
        <f>Loans!M54</f>
        <v>0</v>
      </c>
      <c r="L39" s="432"/>
    </row>
    <row r="40" spans="1:12" s="298" customFormat="1" ht="9" customHeight="1">
      <c r="A40" s="432"/>
      <c r="C40" s="436">
        <f>IF(Loans!D55&lt;&gt;0,Loans!D55,"")</f>
      </c>
      <c r="D40" s="437"/>
      <c r="E40" s="436">
        <f>IF(Loans!F55&lt;&gt;0,"Data Witheld","")</f>
      </c>
      <c r="F40" s="438">
        <f>IF(Loans!G55&lt;&gt;0,Loans!G55,"")</f>
      </c>
      <c r="G40" s="439">
        <f>Loans!H55</f>
        <v>0.02</v>
      </c>
      <c r="H40" s="440">
        <f>Loans!K55</f>
        <v>0</v>
      </c>
      <c r="I40" s="440">
        <f>H40*12</f>
        <v>0</v>
      </c>
      <c r="J40" s="440">
        <f>Loans!M55</f>
        <v>0</v>
      </c>
      <c r="L40" s="432"/>
    </row>
    <row r="41" spans="1:12" s="298" customFormat="1" ht="9" customHeight="1">
      <c r="A41" s="432"/>
      <c r="C41" s="436">
        <f>IF(Loans!D56&lt;&gt;0,Loans!D56,"")</f>
      </c>
      <c r="D41" s="437"/>
      <c r="E41" s="436">
        <f>IF(Loans!F56&lt;&gt;0,"Data Witheld","")</f>
      </c>
      <c r="F41" s="438">
        <f>IF(Loans!G56&lt;&gt;0,Loans!G56,"")</f>
      </c>
      <c r="G41" s="439">
        <f>Loans!H56</f>
        <v>0.03</v>
      </c>
      <c r="H41" s="440">
        <f>Loans!K56</f>
        <v>0</v>
      </c>
      <c r="I41" s="440">
        <f>H41*12</f>
        <v>0</v>
      </c>
      <c r="J41" s="440">
        <f>Loans!M56</f>
        <v>0</v>
      </c>
      <c r="L41" s="432"/>
    </row>
    <row r="42" spans="1:12" s="298" customFormat="1" ht="9" customHeight="1">
      <c r="A42" s="432"/>
      <c r="C42" s="436">
        <f>IF(Loans!D57&lt;&gt;0,Loans!D57,"")</f>
      </c>
      <c r="D42" s="437"/>
      <c r="E42" s="436">
        <f>IF(Loans!F57&lt;&gt;0,"Data Witheld","")</f>
      </c>
      <c r="F42" s="438">
        <f>IF(Loans!G57&lt;&gt;0,Loans!G57,"")</f>
      </c>
      <c r="G42" s="439">
        <f>Loans!H57</f>
        <v>0.04</v>
      </c>
      <c r="H42" s="440">
        <f>Loans!K57</f>
        <v>0</v>
      </c>
      <c r="I42" s="440">
        <f>H42*12</f>
        <v>0</v>
      </c>
      <c r="J42" s="440">
        <f>Loans!M57</f>
        <v>0</v>
      </c>
      <c r="L42" s="432"/>
    </row>
    <row r="43" spans="1:12" s="298" customFormat="1" ht="9" customHeight="1">
      <c r="A43" s="432"/>
      <c r="C43" s="442"/>
      <c r="D43" s="412"/>
      <c r="E43" s="299" t="str">
        <f>D38&amp;" Year Sub Total"</f>
        <v>20 Year Sub Total</v>
      </c>
      <c r="F43" s="443">
        <f>Loans!G58</f>
        <v>0</v>
      </c>
      <c r="G43" s="444"/>
      <c r="H43" s="445">
        <f>Loans!K58</f>
        <v>0</v>
      </c>
      <c r="I43" s="445">
        <f>Loans!L58</f>
        <v>0</v>
      </c>
      <c r="J43" s="445">
        <f>Loans!M58</f>
        <v>0</v>
      </c>
      <c r="L43" s="432"/>
    </row>
    <row r="44" spans="1:12" s="298" customFormat="1" ht="9" customHeight="1">
      <c r="A44" s="432"/>
      <c r="C44" s="436">
        <f>IF(Loans!D60&lt;&gt;0,Loans!D60,"")</f>
      </c>
      <c r="D44" s="437">
        <f>Loans!E60</f>
        <v>25</v>
      </c>
      <c r="E44" s="436">
        <f>IF(Loans!F60&lt;&gt;0,"Data Witheld","")</f>
      </c>
      <c r="F44" s="438">
        <f>IF(Loans!G60&lt;&gt;0,Loans!G60,"")</f>
      </c>
      <c r="G44" s="439">
        <f>Loans!H60</f>
        <v>0</v>
      </c>
      <c r="H44" s="440">
        <f>Loans!K60</f>
        <v>0</v>
      </c>
      <c r="I44" s="440">
        <f>H44*12</f>
        <v>0</v>
      </c>
      <c r="J44" s="440">
        <f>Loans!M60</f>
        <v>0</v>
      </c>
      <c r="L44" s="432"/>
    </row>
    <row r="45" spans="1:12" s="298" customFormat="1" ht="9" customHeight="1">
      <c r="A45" s="432"/>
      <c r="C45" s="436">
        <f>IF(Loans!D61&lt;&gt;0,Loans!D61,"")</f>
      </c>
      <c r="D45" s="437"/>
      <c r="E45" s="436">
        <f>IF(Loans!F61&lt;&gt;0,"Data Witheld","")</f>
      </c>
      <c r="F45" s="438">
        <f>IF(Loans!G61&lt;&gt;0,Loans!G61,"")</f>
      </c>
      <c r="G45" s="439">
        <f>Loans!H61</f>
        <v>0.01</v>
      </c>
      <c r="H45" s="440">
        <f>Loans!K61</f>
        <v>0</v>
      </c>
      <c r="I45" s="440">
        <f>H45*12</f>
        <v>0</v>
      </c>
      <c r="J45" s="440">
        <f>Loans!M61</f>
        <v>0</v>
      </c>
      <c r="L45" s="432"/>
    </row>
    <row r="46" spans="1:12" s="298" customFormat="1" ht="9" customHeight="1">
      <c r="A46" s="432"/>
      <c r="C46" s="436">
        <f>IF(Loans!D62&lt;&gt;0,Loans!D62,"")</f>
      </c>
      <c r="D46" s="437"/>
      <c r="E46" s="436">
        <f>IF(Loans!F62&lt;&gt;0,"Data Witheld","")</f>
      </c>
      <c r="F46" s="438">
        <f>IF(Loans!G62&lt;&gt;0,Loans!G62,"")</f>
      </c>
      <c r="G46" s="439">
        <f>Loans!H62</f>
        <v>0.02</v>
      </c>
      <c r="H46" s="440">
        <f>Loans!K62</f>
        <v>0</v>
      </c>
      <c r="I46" s="440">
        <f>H46*12</f>
        <v>0</v>
      </c>
      <c r="J46" s="440">
        <f>Loans!M62</f>
        <v>0</v>
      </c>
      <c r="L46" s="432"/>
    </row>
    <row r="47" spans="1:12" s="298" customFormat="1" ht="9" customHeight="1">
      <c r="A47" s="432"/>
      <c r="C47" s="436">
        <f>IF(Loans!D63&lt;&gt;0,Loans!D63,"")</f>
      </c>
      <c r="D47" s="437"/>
      <c r="E47" s="436">
        <f>IF(Loans!F63&lt;&gt;0,"Data Witheld","")</f>
      </c>
      <c r="F47" s="438">
        <f>IF(Loans!G63&lt;&gt;0,Loans!G63,"")</f>
      </c>
      <c r="G47" s="439">
        <f>Loans!H63</f>
        <v>0.03</v>
      </c>
      <c r="H47" s="440">
        <f>Loans!K63</f>
        <v>0</v>
      </c>
      <c r="I47" s="440">
        <f>H47*12</f>
        <v>0</v>
      </c>
      <c r="J47" s="440">
        <f>Loans!M63</f>
        <v>0</v>
      </c>
      <c r="L47" s="432"/>
    </row>
    <row r="48" spans="1:12" s="298" customFormat="1" ht="9" customHeight="1">
      <c r="A48" s="432"/>
      <c r="C48" s="436">
        <f>IF(Loans!D64&lt;&gt;0,Loans!D64,"")</f>
      </c>
      <c r="D48" s="437"/>
      <c r="E48" s="436">
        <f>IF(Loans!F64&lt;&gt;0,"Data Witheld","")</f>
      </c>
      <c r="F48" s="438">
        <f>IF(Loans!G64&lt;&gt;0,Loans!G64,"")</f>
      </c>
      <c r="G48" s="439">
        <f>Loans!H64</f>
        <v>0.04</v>
      </c>
      <c r="H48" s="440">
        <f>Loans!K64</f>
        <v>0</v>
      </c>
      <c r="I48" s="440">
        <f>H48*12</f>
        <v>0</v>
      </c>
      <c r="J48" s="440">
        <f>Loans!M64</f>
        <v>0</v>
      </c>
      <c r="L48" s="432"/>
    </row>
    <row r="49" spans="1:12" s="298" customFormat="1" ht="9" customHeight="1">
      <c r="A49" s="432"/>
      <c r="C49" s="442"/>
      <c r="D49" s="412"/>
      <c r="E49" s="299" t="str">
        <f>D44&amp;" Year Sub Total"</f>
        <v>25 Year Sub Total</v>
      </c>
      <c r="F49" s="443">
        <f>Loans!G65</f>
        <v>0</v>
      </c>
      <c r="G49" s="444"/>
      <c r="H49" s="445">
        <f>Loans!K65</f>
        <v>0</v>
      </c>
      <c r="I49" s="445">
        <f>Loans!L65</f>
        <v>0</v>
      </c>
      <c r="J49" s="445">
        <f>Loans!M65</f>
        <v>0</v>
      </c>
      <c r="L49" s="432"/>
    </row>
    <row r="50" spans="1:12" s="298" customFormat="1" ht="9" customHeight="1">
      <c r="A50" s="432"/>
      <c r="C50" s="436">
        <f>IF(Loans!D67&lt;&gt;0,Loans!D67,"")</f>
      </c>
      <c r="D50" s="437">
        <f>Loans!E67</f>
        <v>30</v>
      </c>
      <c r="E50" s="436">
        <f>IF(Loans!F67&lt;&gt;0,"Data Witheld","")</f>
      </c>
      <c r="F50" s="438">
        <f>IF(Loans!G67&lt;&gt;0,Loans!G67,"")</f>
      </c>
      <c r="G50" s="439">
        <f>Loans!H67</f>
        <v>0</v>
      </c>
      <c r="H50" s="440">
        <f>Loans!K67</f>
        <v>0</v>
      </c>
      <c r="I50" s="440">
        <f>H50*12</f>
        <v>0</v>
      </c>
      <c r="J50" s="440">
        <f>Loans!M67</f>
        <v>0</v>
      </c>
      <c r="L50" s="432"/>
    </row>
    <row r="51" spans="1:12" s="298" customFormat="1" ht="9" customHeight="1">
      <c r="A51" s="432"/>
      <c r="C51" s="436">
        <f>IF(Loans!D68&lt;&gt;0,Loans!D68,"")</f>
      </c>
      <c r="D51" s="437"/>
      <c r="E51" s="436">
        <f>IF(Loans!F68&lt;&gt;0,"Data Witheld","")</f>
      </c>
      <c r="F51" s="438">
        <f>IF(Loans!G68&lt;&gt;0,Loans!G68,"")</f>
      </c>
      <c r="G51" s="439">
        <f>Loans!H68</f>
        <v>0.01</v>
      </c>
      <c r="H51" s="440">
        <f>Loans!K68</f>
        <v>0</v>
      </c>
      <c r="I51" s="440">
        <f>H51*12</f>
        <v>0</v>
      </c>
      <c r="J51" s="440">
        <f>Loans!M68</f>
        <v>0</v>
      </c>
      <c r="L51" s="432"/>
    </row>
    <row r="52" spans="1:12" s="298" customFormat="1" ht="9" customHeight="1">
      <c r="A52" s="432"/>
      <c r="C52" s="436">
        <f>IF(Loans!D69&lt;&gt;0,Loans!D69,"")</f>
      </c>
      <c r="D52" s="437"/>
      <c r="E52" s="436">
        <f>IF(Loans!F69&lt;&gt;0,"Data Witheld","")</f>
      </c>
      <c r="F52" s="438">
        <f>IF(Loans!G69&lt;&gt;0,Loans!G69,"")</f>
      </c>
      <c r="G52" s="439">
        <f>Loans!H69</f>
        <v>0.02</v>
      </c>
      <c r="H52" s="440">
        <f>Loans!K69</f>
        <v>0</v>
      </c>
      <c r="I52" s="440">
        <f>H52*12</f>
        <v>0</v>
      </c>
      <c r="J52" s="440">
        <f>Loans!M69</f>
        <v>0</v>
      </c>
      <c r="L52" s="432"/>
    </row>
    <row r="53" spans="1:12" s="298" customFormat="1" ht="9" customHeight="1">
      <c r="A53" s="432"/>
      <c r="C53" s="436">
        <f>IF(Loans!D70&lt;&gt;0,Loans!D70,"")</f>
      </c>
      <c r="D53" s="437"/>
      <c r="E53" s="436">
        <f>IF(Loans!F70&lt;&gt;0,"Data Witheld","")</f>
      </c>
      <c r="F53" s="438">
        <f>IF(Loans!G70&lt;&gt;0,Loans!G70,"")</f>
      </c>
      <c r="G53" s="439">
        <f>Loans!H70</f>
        <v>0.03</v>
      </c>
      <c r="H53" s="440">
        <f>Loans!K70</f>
        <v>0</v>
      </c>
      <c r="I53" s="440">
        <f>H53*12</f>
        <v>0</v>
      </c>
      <c r="J53" s="440">
        <f>Loans!M70</f>
        <v>0</v>
      </c>
      <c r="L53" s="432"/>
    </row>
    <row r="54" spans="1:12" s="298" customFormat="1" ht="9" customHeight="1">
      <c r="A54" s="432"/>
      <c r="C54" s="436">
        <f>IF(Loans!D71&lt;&gt;0,Loans!D71,"")</f>
      </c>
      <c r="D54" s="437"/>
      <c r="E54" s="436">
        <f>IF(Loans!F71&lt;&gt;0,"Data Witheld","")</f>
      </c>
      <c r="F54" s="438">
        <f>IF(Loans!G71&lt;&gt;0,Loans!G71,"")</f>
      </c>
      <c r="G54" s="439">
        <f>Loans!H71</f>
        <v>0.04</v>
      </c>
      <c r="H54" s="440">
        <f>Loans!K71</f>
        <v>0</v>
      </c>
      <c r="I54" s="440">
        <f>H54*12</f>
        <v>0</v>
      </c>
      <c r="J54" s="440">
        <f>Loans!M71</f>
        <v>0</v>
      </c>
      <c r="L54" s="432"/>
    </row>
    <row r="55" spans="1:12" s="298" customFormat="1" ht="9" customHeight="1">
      <c r="A55" s="432"/>
      <c r="C55" s="442"/>
      <c r="D55" s="412"/>
      <c r="E55" s="299" t="str">
        <f>D50&amp;" Year Sub Total"</f>
        <v>30 Year Sub Total</v>
      </c>
      <c r="F55" s="443">
        <f>Loans!G72</f>
        <v>0</v>
      </c>
      <c r="G55" s="444"/>
      <c r="H55" s="445">
        <f>Loans!K72</f>
        <v>0</v>
      </c>
      <c r="I55" s="445">
        <f>Loans!L72</f>
        <v>0</v>
      </c>
      <c r="J55" s="445">
        <f>Loans!M72</f>
        <v>0</v>
      </c>
      <c r="L55" s="432"/>
    </row>
    <row r="56" spans="1:12" s="298" customFormat="1" ht="9" customHeight="1">
      <c r="A56" s="432"/>
      <c r="C56" s="436">
        <f>IF(Loans!D74&lt;&gt;0,Loans!D74,"")</f>
      </c>
      <c r="D56" s="437">
        <f>Loans!E74</f>
        <v>35</v>
      </c>
      <c r="E56" s="436">
        <f>IF(Loans!F74&lt;&gt;0,"Data Witheld","")</f>
      </c>
      <c r="F56" s="438">
        <f>IF(Loans!G74&lt;&gt;0,Loans!G74,"")</f>
      </c>
      <c r="G56" s="439">
        <f>Loans!H74</f>
        <v>0</v>
      </c>
      <c r="H56" s="440">
        <f>Loans!K74</f>
        <v>0</v>
      </c>
      <c r="I56" s="440">
        <f>H56*12</f>
        <v>0</v>
      </c>
      <c r="J56" s="440">
        <f>Loans!M74</f>
        <v>0</v>
      </c>
      <c r="L56" s="432"/>
    </row>
    <row r="57" spans="1:12" s="298" customFormat="1" ht="9" customHeight="1">
      <c r="A57" s="432"/>
      <c r="C57" s="436">
        <f>IF(Loans!D75&lt;&gt;0,Loans!D75,"")</f>
      </c>
      <c r="D57" s="437"/>
      <c r="E57" s="436">
        <f>IF(Loans!F75&lt;&gt;0,"Data Witheld","")</f>
      </c>
      <c r="F57" s="438">
        <f>IF(Loans!G75&lt;&gt;0,Loans!G75,"")</f>
      </c>
      <c r="G57" s="439">
        <f>Loans!H75</f>
        <v>0.01</v>
      </c>
      <c r="H57" s="440">
        <f>Loans!K75</f>
        <v>0</v>
      </c>
      <c r="I57" s="440">
        <f>H57*12</f>
        <v>0</v>
      </c>
      <c r="J57" s="440">
        <f>Loans!M75</f>
        <v>0</v>
      </c>
      <c r="L57" s="432"/>
    </row>
    <row r="58" spans="1:12" s="298" customFormat="1" ht="9" customHeight="1">
      <c r="A58" s="432"/>
      <c r="C58" s="436">
        <f>IF(Loans!D76&lt;&gt;0,Loans!D76,"")</f>
      </c>
      <c r="D58" s="437"/>
      <c r="E58" s="436">
        <f>IF(Loans!F76&lt;&gt;0,"Data Witheld","")</f>
      </c>
      <c r="F58" s="438">
        <f>IF(Loans!G76&lt;&gt;0,Loans!G76,"")</f>
      </c>
      <c r="G58" s="439">
        <f>Loans!H76</f>
        <v>0.02</v>
      </c>
      <c r="H58" s="440">
        <f>Loans!K76</f>
        <v>0</v>
      </c>
      <c r="I58" s="440">
        <f>H58*12</f>
        <v>0</v>
      </c>
      <c r="J58" s="440">
        <f>Loans!M76</f>
        <v>0</v>
      </c>
      <c r="L58" s="432"/>
    </row>
    <row r="59" spans="1:12" s="298" customFormat="1" ht="9" customHeight="1">
      <c r="A59" s="432"/>
      <c r="C59" s="436">
        <f>IF(Loans!D77&lt;&gt;0,Loans!D77,"")</f>
      </c>
      <c r="D59" s="437"/>
      <c r="E59" s="436">
        <f>IF(Loans!F77&lt;&gt;0,"Data Witheld","")</f>
      </c>
      <c r="F59" s="438">
        <f>IF(Loans!G77&lt;&gt;0,Loans!G77,"")</f>
      </c>
      <c r="G59" s="439">
        <f>Loans!H77</f>
        <v>0.03</v>
      </c>
      <c r="H59" s="440">
        <f>Loans!K77</f>
        <v>0</v>
      </c>
      <c r="I59" s="440">
        <f>H59*12</f>
        <v>0</v>
      </c>
      <c r="J59" s="440">
        <f>Loans!M77</f>
        <v>0</v>
      </c>
      <c r="L59" s="432"/>
    </row>
    <row r="60" spans="1:12" s="298" customFormat="1" ht="9" customHeight="1">
      <c r="A60" s="432"/>
      <c r="C60" s="436">
        <f>IF(Loans!D78&lt;&gt;0,Loans!D78,"")</f>
      </c>
      <c r="D60" s="437"/>
      <c r="E60" s="436">
        <f>IF(Loans!F78&lt;&gt;0,"Data Witheld","")</f>
      </c>
      <c r="F60" s="438">
        <f>IF(Loans!G78&lt;&gt;0,Loans!G78,"")</f>
      </c>
      <c r="G60" s="439">
        <f>Loans!H78</f>
        <v>0.04</v>
      </c>
      <c r="H60" s="440">
        <f>Loans!K78</f>
        <v>0</v>
      </c>
      <c r="I60" s="440">
        <f>H60*12</f>
        <v>0</v>
      </c>
      <c r="J60" s="440">
        <f>Loans!M78</f>
        <v>0</v>
      </c>
      <c r="L60" s="432"/>
    </row>
    <row r="61" spans="1:12" s="298" customFormat="1" ht="9" customHeight="1">
      <c r="A61" s="432"/>
      <c r="C61" s="442"/>
      <c r="D61" s="412"/>
      <c r="E61" s="299" t="str">
        <f>D56&amp;" Year Sub Total"</f>
        <v>35 Year Sub Total</v>
      </c>
      <c r="F61" s="443">
        <f>Loans!G79</f>
        <v>0</v>
      </c>
      <c r="G61" s="446"/>
      <c r="H61" s="445">
        <f>Loans!K79</f>
        <v>0</v>
      </c>
      <c r="I61" s="445">
        <f>Loans!L79</f>
        <v>0</v>
      </c>
      <c r="J61" s="445">
        <f>Loans!M79</f>
        <v>0</v>
      </c>
      <c r="L61" s="432"/>
    </row>
    <row r="62" spans="1:12" s="298" customFormat="1" ht="9.75" customHeight="1">
      <c r="A62" s="432"/>
      <c r="D62" s="412"/>
      <c r="E62" s="299"/>
      <c r="F62" s="447">
        <f>Loans!G82</f>
        <v>1000</v>
      </c>
      <c r="G62" s="448"/>
      <c r="H62" s="427">
        <f>Loans!K82</f>
        <v>83.33333333333333</v>
      </c>
      <c r="I62" s="427">
        <f>Loans!L82</f>
        <v>1000</v>
      </c>
      <c r="J62" s="427">
        <f>Loans!M82</f>
        <v>1000</v>
      </c>
      <c r="L62" s="432"/>
    </row>
    <row r="63" spans="1:12" s="298" customFormat="1" ht="4.5" customHeight="1">
      <c r="A63" s="432"/>
      <c r="B63" s="432"/>
      <c r="C63" s="432"/>
      <c r="D63" s="449"/>
      <c r="E63" s="432"/>
      <c r="F63" s="432"/>
      <c r="G63" s="432"/>
      <c r="H63" s="433"/>
      <c r="I63" s="433"/>
      <c r="J63" s="433"/>
      <c r="K63" s="432"/>
      <c r="L63" s="432"/>
    </row>
    <row r="64" spans="1:12" s="298" customFormat="1" ht="4.5" customHeight="1">
      <c r="A64" s="450"/>
      <c r="B64" s="450"/>
      <c r="C64" s="450"/>
      <c r="D64" s="450"/>
      <c r="E64" s="450"/>
      <c r="F64" s="450"/>
      <c r="G64" s="450"/>
      <c r="H64" s="451"/>
      <c r="I64" s="451"/>
      <c r="J64" s="451"/>
      <c r="K64" s="450"/>
      <c r="L64" s="450"/>
    </row>
    <row r="65" spans="1:12" s="298" customFormat="1" ht="9" customHeight="1">
      <c r="A65" s="450"/>
      <c r="C65" s="337" t="s">
        <v>144</v>
      </c>
      <c r="D65" s="412"/>
      <c r="H65" s="413"/>
      <c r="I65" s="413"/>
      <c r="J65" s="413"/>
      <c r="L65" s="450"/>
    </row>
    <row r="66" spans="1:12" s="298" customFormat="1" ht="9.75" customHeight="1">
      <c r="A66" s="450"/>
      <c r="C66" s="452" t="s">
        <v>268</v>
      </c>
      <c r="D66" s="415" t="s">
        <v>99</v>
      </c>
      <c r="E66" s="453"/>
      <c r="F66" s="415" t="s">
        <v>101</v>
      </c>
      <c r="G66" s="415" t="s">
        <v>102</v>
      </c>
      <c r="H66" s="416" t="s">
        <v>105</v>
      </c>
      <c r="I66" s="416" t="s">
        <v>106</v>
      </c>
      <c r="J66" s="453" t="s">
        <v>107</v>
      </c>
      <c r="K66" s="454"/>
      <c r="L66" s="450"/>
    </row>
    <row r="67" spans="1:12" s="298" customFormat="1" ht="9" customHeight="1">
      <c r="A67" s="450"/>
      <c r="C67" s="337" t="str">
        <f>"Year "&amp;Loans!D92</f>
        <v>Year 1</v>
      </c>
      <c r="D67" s="455">
        <f>Loans!E92</f>
        <v>5</v>
      </c>
      <c r="E67" s="456"/>
      <c r="F67" s="457">
        <f>Loans!G92</f>
        <v>0</v>
      </c>
      <c r="G67" s="458">
        <f>Loans!H92</f>
        <v>0.02</v>
      </c>
      <c r="H67" s="454">
        <f>Loans!K92</f>
        <v>0</v>
      </c>
      <c r="I67" s="454">
        <f>Loans!L92</f>
        <v>0</v>
      </c>
      <c r="J67" s="454">
        <f>Loans!M92</f>
        <v>0</v>
      </c>
      <c r="K67" s="454"/>
      <c r="L67" s="450"/>
    </row>
    <row r="68" spans="1:12" s="298" customFormat="1" ht="9" customHeight="1">
      <c r="A68" s="450"/>
      <c r="C68" s="298" t="str">
        <f>Loans!D93</f>
        <v>(Pay back in yr 6 )</v>
      </c>
      <c r="D68" s="459"/>
      <c r="E68" s="456"/>
      <c r="F68" s="457">
        <f>Loans!G93</f>
        <v>0</v>
      </c>
      <c r="G68" s="458">
        <f>Loans!H93</f>
        <v>0.04</v>
      </c>
      <c r="H68" s="454">
        <f>Loans!K93</f>
        <v>0</v>
      </c>
      <c r="I68" s="454">
        <f>Loans!L93</f>
        <v>0</v>
      </c>
      <c r="J68" s="454">
        <f>Loans!M93</f>
        <v>0</v>
      </c>
      <c r="K68" s="454"/>
      <c r="L68" s="450"/>
    </row>
    <row r="69" spans="1:12" s="298" customFormat="1" ht="9" customHeight="1">
      <c r="A69" s="450"/>
      <c r="D69" s="459"/>
      <c r="E69" s="460" t="s">
        <v>152</v>
      </c>
      <c r="F69" s="461">
        <f>Loans!G94</f>
        <v>0</v>
      </c>
      <c r="G69" s="462"/>
      <c r="H69" s="463">
        <f>Loans!K94</f>
        <v>0</v>
      </c>
      <c r="I69" s="463">
        <f>Loans!L94</f>
        <v>0</v>
      </c>
      <c r="J69" s="463">
        <f>Loans!M94</f>
        <v>0</v>
      </c>
      <c r="L69" s="450"/>
    </row>
    <row r="70" spans="1:12" s="298" customFormat="1" ht="9" customHeight="1">
      <c r="A70" s="450"/>
      <c r="C70" s="337" t="str">
        <f>"Year "&amp;Loans!D97</f>
        <v>Year 12</v>
      </c>
      <c r="D70" s="464">
        <f>Loans!E97</f>
        <v>4</v>
      </c>
      <c r="E70" s="456"/>
      <c r="F70" s="457">
        <f>Loans!G97</f>
        <v>0</v>
      </c>
      <c r="G70" s="458">
        <f>Loans!H97</f>
        <v>0.02</v>
      </c>
      <c r="H70" s="454">
        <f>Loans!K97</f>
        <v>0</v>
      </c>
      <c r="I70" s="454">
        <f>Loans!L97</f>
        <v>0</v>
      </c>
      <c r="J70" s="454">
        <f>Loans!M97</f>
        <v>0</v>
      </c>
      <c r="K70" s="454"/>
      <c r="L70" s="450"/>
    </row>
    <row r="71" spans="1:12" s="298" customFormat="1" ht="9" customHeight="1">
      <c r="A71" s="450"/>
      <c r="C71" s="298" t="str">
        <f>Loans!D98</f>
        <v>(Pay back in yr 16 )</v>
      </c>
      <c r="D71" s="459"/>
      <c r="E71" s="456"/>
      <c r="F71" s="457">
        <f>Loans!G98</f>
        <v>0</v>
      </c>
      <c r="G71" s="458">
        <f>Loans!H98</f>
        <v>0.04</v>
      </c>
      <c r="H71" s="454">
        <f>Loans!K98</f>
        <v>0</v>
      </c>
      <c r="I71" s="454">
        <f>Loans!L98</f>
        <v>0</v>
      </c>
      <c r="J71" s="454">
        <f>Loans!M98</f>
        <v>0</v>
      </c>
      <c r="K71" s="454"/>
      <c r="L71" s="450"/>
    </row>
    <row r="72" spans="1:12" s="298" customFormat="1" ht="9" customHeight="1">
      <c r="A72" s="450"/>
      <c r="D72" s="459"/>
      <c r="E72" s="460" t="s">
        <v>152</v>
      </c>
      <c r="F72" s="461">
        <f>Loans!G99</f>
        <v>0</v>
      </c>
      <c r="G72" s="462"/>
      <c r="H72" s="463">
        <f>Loans!K99</f>
        <v>0</v>
      </c>
      <c r="I72" s="463">
        <f>Loans!L99</f>
        <v>0</v>
      </c>
      <c r="J72" s="463">
        <f>Loans!M99</f>
        <v>0</v>
      </c>
      <c r="L72" s="450"/>
    </row>
    <row r="73" spans="1:12" s="298" customFormat="1" ht="9" customHeight="1">
      <c r="A73" s="450"/>
      <c r="C73" s="337" t="str">
        <f>"Year "&amp;Loans!D102</f>
        <v>Year 15</v>
      </c>
      <c r="D73" s="455">
        <f>Loans!E102</f>
        <v>10</v>
      </c>
      <c r="E73" s="456"/>
      <c r="F73" s="457">
        <f>Loans!G102</f>
        <v>0</v>
      </c>
      <c r="G73" s="458">
        <f>Loans!H102</f>
        <v>0.02</v>
      </c>
      <c r="H73" s="454">
        <f>Loans!K102</f>
        <v>0</v>
      </c>
      <c r="I73" s="454">
        <f>Loans!L102</f>
        <v>0</v>
      </c>
      <c r="J73" s="454">
        <f>Loans!M102</f>
        <v>0</v>
      </c>
      <c r="K73" s="454"/>
      <c r="L73" s="450"/>
    </row>
    <row r="74" spans="1:12" s="298" customFormat="1" ht="9" customHeight="1">
      <c r="A74" s="450"/>
      <c r="C74" s="298" t="str">
        <f>Loans!D103</f>
        <v>(Pay back in yr 25 )</v>
      </c>
      <c r="D74" s="459"/>
      <c r="E74" s="456"/>
      <c r="F74" s="457">
        <f>Loans!G103</f>
        <v>0</v>
      </c>
      <c r="G74" s="458">
        <f>Loans!H103</f>
        <v>0.04</v>
      </c>
      <c r="H74" s="454">
        <f>Loans!K103</f>
        <v>0</v>
      </c>
      <c r="I74" s="454">
        <f>Loans!L103</f>
        <v>0</v>
      </c>
      <c r="J74" s="454">
        <f>Loans!M103</f>
        <v>0</v>
      </c>
      <c r="K74" s="454"/>
      <c r="L74" s="450"/>
    </row>
    <row r="75" spans="1:12" s="298" customFormat="1" ht="9" customHeight="1">
      <c r="A75" s="450"/>
      <c r="D75" s="465"/>
      <c r="E75" s="460" t="s">
        <v>152</v>
      </c>
      <c r="F75" s="461">
        <f>Loans!G104</f>
        <v>0</v>
      </c>
      <c r="G75" s="462"/>
      <c r="H75" s="466">
        <f>Loans!K104</f>
        <v>0</v>
      </c>
      <c r="I75" s="466">
        <f>Loans!L104</f>
        <v>0</v>
      </c>
      <c r="J75" s="466">
        <f>Loans!M104</f>
        <v>0</v>
      </c>
      <c r="L75" s="450"/>
    </row>
    <row r="76" spans="1:12" s="298" customFormat="1" ht="9" customHeight="1">
      <c r="A76" s="450"/>
      <c r="C76" s="337" t="str">
        <f>"Year "&amp;Loans!D106</f>
        <v>Year 20</v>
      </c>
      <c r="D76" s="464">
        <f>Loans!E106</f>
        <v>10</v>
      </c>
      <c r="E76" s="456"/>
      <c r="F76" s="457">
        <f>Loans!G106</f>
        <v>0</v>
      </c>
      <c r="G76" s="458">
        <f>Loans!H106</f>
        <v>0.02</v>
      </c>
      <c r="H76" s="454">
        <f>Loans!K106</f>
        <v>0</v>
      </c>
      <c r="I76" s="454">
        <f>Loans!L106</f>
        <v>0</v>
      </c>
      <c r="J76" s="454">
        <f>Loans!M106</f>
        <v>0</v>
      </c>
      <c r="K76" s="454"/>
      <c r="L76" s="450"/>
    </row>
    <row r="77" spans="1:12" s="298" customFormat="1" ht="9" customHeight="1">
      <c r="A77" s="450"/>
      <c r="C77" s="298" t="str">
        <f>Loans!D107</f>
        <v>(Pay back in yr 30 )</v>
      </c>
      <c r="D77" s="459"/>
      <c r="E77" s="456"/>
      <c r="F77" s="457">
        <f>Loans!G107</f>
        <v>0</v>
      </c>
      <c r="G77" s="458">
        <f>Loans!H107</f>
        <v>0.04</v>
      </c>
      <c r="H77" s="454">
        <f>Loans!K107</f>
        <v>0</v>
      </c>
      <c r="I77" s="454">
        <f>Loans!L107</f>
        <v>0</v>
      </c>
      <c r="J77" s="454">
        <f>Loans!M107</f>
        <v>0</v>
      </c>
      <c r="K77" s="454"/>
      <c r="L77" s="450"/>
    </row>
    <row r="78" spans="1:12" s="298" customFormat="1" ht="9" customHeight="1">
      <c r="A78" s="450"/>
      <c r="D78" s="465"/>
      <c r="E78" s="460" t="s">
        <v>152</v>
      </c>
      <c r="F78" s="461">
        <f>Loans!G108</f>
        <v>0</v>
      </c>
      <c r="G78" s="462"/>
      <c r="H78" s="466">
        <f>Loans!K108</f>
        <v>0</v>
      </c>
      <c r="I78" s="466">
        <f>Loans!L108</f>
        <v>0</v>
      </c>
      <c r="J78" s="466">
        <f>Loans!M108</f>
        <v>0</v>
      </c>
      <c r="L78" s="450"/>
    </row>
    <row r="79" spans="1:12" s="298" customFormat="1" ht="9" customHeight="1">
      <c r="A79" s="450"/>
      <c r="C79" s="337" t="str">
        <f>"Year "&amp;Loans!D110</f>
        <v>Year 20</v>
      </c>
      <c r="D79" s="464">
        <f>Loans!E110</f>
        <v>10</v>
      </c>
      <c r="E79" s="456"/>
      <c r="F79" s="457">
        <f>Loans!G110</f>
        <v>0</v>
      </c>
      <c r="G79" s="458">
        <f>Loans!H110</f>
        <v>0.02</v>
      </c>
      <c r="H79" s="454">
        <f>Loans!K110</f>
        <v>0</v>
      </c>
      <c r="I79" s="454">
        <f>Loans!L110</f>
        <v>0</v>
      </c>
      <c r="J79" s="454">
        <f>Loans!M110</f>
        <v>0</v>
      </c>
      <c r="L79" s="450"/>
    </row>
    <row r="80" spans="1:12" s="298" customFormat="1" ht="9" customHeight="1">
      <c r="A80" s="450"/>
      <c r="C80" s="298" t="str">
        <f>Loans!D111</f>
        <v>(Pay back in yr 30 )</v>
      </c>
      <c r="D80" s="459"/>
      <c r="E80" s="456"/>
      <c r="F80" s="457">
        <f>Loans!G111</f>
        <v>0</v>
      </c>
      <c r="G80" s="458">
        <f>Loans!H111</f>
        <v>0.04</v>
      </c>
      <c r="H80" s="454">
        <f>Loans!K111</f>
        <v>0</v>
      </c>
      <c r="I80" s="454">
        <f>Loans!L111</f>
        <v>0</v>
      </c>
      <c r="J80" s="454">
        <f>Loans!M111</f>
        <v>0</v>
      </c>
      <c r="L80" s="450"/>
    </row>
    <row r="81" spans="1:12" s="298" customFormat="1" ht="9" customHeight="1">
      <c r="A81" s="450"/>
      <c r="D81" s="465"/>
      <c r="E81" s="460" t="s">
        <v>152</v>
      </c>
      <c r="F81" s="461">
        <f>Loans!G112</f>
        <v>0</v>
      </c>
      <c r="G81" s="462"/>
      <c r="H81" s="466">
        <f>Loans!K112</f>
        <v>0</v>
      </c>
      <c r="I81" s="466">
        <f>Loans!L112</f>
        <v>0</v>
      </c>
      <c r="J81" s="466">
        <f>Loans!M112</f>
        <v>0</v>
      </c>
      <c r="L81" s="450"/>
    </row>
    <row r="82" spans="1:12" s="298" customFormat="1" ht="9" customHeight="1">
      <c r="A82" s="450"/>
      <c r="C82" s="337" t="str">
        <f>"Year "&amp;Loans!D114</f>
        <v>Year 25</v>
      </c>
      <c r="D82" s="464">
        <f>Loans!E114</f>
        <v>10</v>
      </c>
      <c r="E82" s="456"/>
      <c r="F82" s="457">
        <f>Loans!G114</f>
        <v>0</v>
      </c>
      <c r="G82" s="458">
        <f>Loans!H114</f>
        <v>0.02</v>
      </c>
      <c r="H82" s="454">
        <f>Loans!K114</f>
        <v>0</v>
      </c>
      <c r="I82" s="454">
        <f>Loans!L114</f>
        <v>0</v>
      </c>
      <c r="J82" s="454">
        <f>Loans!M114</f>
        <v>0</v>
      </c>
      <c r="L82" s="450"/>
    </row>
    <row r="83" spans="1:12" s="298" customFormat="1" ht="9" customHeight="1">
      <c r="A83" s="450"/>
      <c r="C83" s="298" t="str">
        <f>Loans!D115</f>
        <v>(Pay back in yr 35 )</v>
      </c>
      <c r="D83" s="459"/>
      <c r="E83" s="456"/>
      <c r="F83" s="457">
        <f>Loans!G115</f>
        <v>0</v>
      </c>
      <c r="G83" s="458">
        <f>Loans!H115</f>
        <v>0.04</v>
      </c>
      <c r="H83" s="454">
        <f>Loans!K115</f>
        <v>0</v>
      </c>
      <c r="I83" s="454">
        <f>Loans!L115</f>
        <v>0</v>
      </c>
      <c r="J83" s="454">
        <f>Loans!M115</f>
        <v>0</v>
      </c>
      <c r="L83" s="450"/>
    </row>
    <row r="84" spans="1:12" s="298" customFormat="1" ht="9" customHeight="1">
      <c r="A84" s="450"/>
      <c r="D84" s="465"/>
      <c r="E84" s="460" t="s">
        <v>152</v>
      </c>
      <c r="F84" s="461">
        <f>Loans!G116</f>
        <v>0</v>
      </c>
      <c r="G84" s="462"/>
      <c r="H84" s="466">
        <f>Loans!K116</f>
        <v>0</v>
      </c>
      <c r="I84" s="466">
        <f>Loans!L116</f>
        <v>0</v>
      </c>
      <c r="J84" s="466">
        <f>Loans!M116</f>
        <v>0</v>
      </c>
      <c r="L84" s="450"/>
    </row>
    <row r="85" spans="1:12" s="298" customFormat="1" ht="9" customHeight="1">
      <c r="A85" s="450"/>
      <c r="C85" s="337" t="str">
        <f>"Year "&amp;Loans!D118</f>
        <v>Year 30</v>
      </c>
      <c r="D85" s="464">
        <f>Loans!E118</f>
        <v>10</v>
      </c>
      <c r="E85" s="456"/>
      <c r="F85" s="457">
        <f>Loans!G118</f>
        <v>0</v>
      </c>
      <c r="G85" s="458">
        <f>Loans!H118</f>
        <v>0.02</v>
      </c>
      <c r="H85" s="454">
        <f>Loans!K118</f>
        <v>0</v>
      </c>
      <c r="I85" s="454">
        <f>Loans!L118</f>
        <v>0</v>
      </c>
      <c r="J85" s="454">
        <f>Loans!M118</f>
        <v>0</v>
      </c>
      <c r="L85" s="450"/>
    </row>
    <row r="86" spans="1:12" s="298" customFormat="1" ht="9" customHeight="1">
      <c r="A86" s="450"/>
      <c r="C86" s="298" t="str">
        <f>Loans!D119</f>
        <v>(Pay back in yr 40 )</v>
      </c>
      <c r="D86" s="459"/>
      <c r="E86" s="456"/>
      <c r="F86" s="457">
        <f>Loans!G119</f>
        <v>0</v>
      </c>
      <c r="G86" s="458">
        <f>Loans!H119</f>
        <v>0.04</v>
      </c>
      <c r="H86" s="454">
        <f>Loans!K119</f>
        <v>0</v>
      </c>
      <c r="I86" s="454">
        <f>Loans!L119</f>
        <v>0</v>
      </c>
      <c r="J86" s="454">
        <f>Loans!M119</f>
        <v>0</v>
      </c>
      <c r="L86" s="450"/>
    </row>
    <row r="87" spans="1:12" s="298" customFormat="1" ht="9" customHeight="1">
      <c r="A87" s="450"/>
      <c r="D87" s="465"/>
      <c r="E87" s="460" t="s">
        <v>152</v>
      </c>
      <c r="F87" s="461">
        <f>Loans!G120</f>
        <v>0</v>
      </c>
      <c r="G87" s="467"/>
      <c r="H87" s="468">
        <f>Loans!K120</f>
        <v>0</v>
      </c>
      <c r="I87" s="468">
        <f>Loans!L120</f>
        <v>0</v>
      </c>
      <c r="J87" s="468">
        <f>Loans!M120</f>
        <v>0</v>
      </c>
      <c r="L87" s="450"/>
    </row>
    <row r="88" spans="1:12" s="298" customFormat="1" ht="9.75" customHeight="1">
      <c r="A88" s="450"/>
      <c r="D88" s="465"/>
      <c r="E88" s="469"/>
      <c r="F88" s="470">
        <f>Loans!G122</f>
        <v>0</v>
      </c>
      <c r="G88" s="471"/>
      <c r="H88" s="472"/>
      <c r="I88" s="473"/>
      <c r="J88" s="473">
        <f>Loans!M122</f>
        <v>0</v>
      </c>
      <c r="L88" s="450"/>
    </row>
    <row r="89" spans="1:12" s="298" customFormat="1" ht="4.5" customHeight="1">
      <c r="A89" s="450"/>
      <c r="B89" s="450"/>
      <c r="C89" s="450"/>
      <c r="D89" s="474"/>
      <c r="E89" s="450"/>
      <c r="F89" s="450"/>
      <c r="G89" s="450"/>
      <c r="H89" s="451"/>
      <c r="I89" s="451"/>
      <c r="J89" s="451"/>
      <c r="K89" s="450"/>
      <c r="L89" s="450"/>
    </row>
    <row r="90" ht="8.25" customHeight="1"/>
  </sheetData>
  <sheetProtection sheet="1"/>
  <mergeCells count="1">
    <mergeCell ref="A1:C1"/>
  </mergeCells>
  <dataValidations count="1">
    <dataValidation type="list" operator="equal" allowBlank="1" showErrorMessage="1" sqref="C14:C18 E14:F18 C20:C24 E20:F24 C26:C30 E26:F30 C32:C36 E32:F36 C38:C42 E38:F42 C44:C48 E44:F48 C50:C54 E50:F54 C56:C60 E56:F60">
      <formula1>lStckConfirmed</formula1>
    </dataValidation>
  </dataValidations>
  <printOptions/>
  <pageMargins left="0.4722222222222222" right="0.4722222222222222" top="0.393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T63"/>
  <sheetViews>
    <sheetView zoomScalePageLayoutView="0" workbookViewId="0" topLeftCell="A1">
      <selection activeCell="A1" sqref="A1"/>
    </sheetView>
  </sheetViews>
  <sheetFormatPr defaultColWidth="12.140625" defaultRowHeight="12.75" customHeight="1"/>
  <cols>
    <col min="1" max="1" width="1.1484375" style="475" customWidth="1"/>
    <col min="2" max="2" width="8.140625" style="475" customWidth="1"/>
    <col min="3" max="3" width="16.57421875" style="475" customWidth="1"/>
    <col min="4" max="23" width="5.421875" style="475" customWidth="1"/>
    <col min="24" max="24" width="1.7109375" style="475" customWidth="1"/>
    <col min="25" max="25" width="16.57421875" style="475" customWidth="1"/>
    <col min="26" max="45" width="5.421875" style="475" customWidth="1"/>
    <col min="46" max="46" width="7.7109375" style="475" customWidth="1"/>
    <col min="47" max="16384" width="12.140625" style="475" customWidth="1"/>
  </cols>
  <sheetData>
    <row r="1" spans="2:28" ht="14.25" customHeight="1">
      <c r="B1" s="599" t="s">
        <v>197</v>
      </c>
      <c r="C1" s="599"/>
      <c r="K1" s="260"/>
      <c r="Y1" s="600" t="s">
        <v>269</v>
      </c>
      <c r="Z1" s="600"/>
      <c r="AA1" s="600"/>
      <c r="AB1" s="600"/>
    </row>
    <row r="2" spans="2:11" ht="6" customHeight="1">
      <c r="B2" s="476"/>
      <c r="C2" s="476"/>
      <c r="K2" s="260"/>
    </row>
    <row r="3" spans="2:11" ht="6" customHeight="1">
      <c r="B3" s="476"/>
      <c r="C3" s="476"/>
      <c r="K3" s="260"/>
    </row>
    <row r="4" spans="2:11" ht="15.75" customHeight="1">
      <c r="B4" s="476"/>
      <c r="C4" s="477" t="str">
        <f>IF('40 Year Breakdown'!F3&gt;0,"Guarantors needed for:","")</f>
        <v>Guarantors needed for:</v>
      </c>
      <c r="K4" s="260"/>
    </row>
    <row r="5" spans="2:11" ht="6" customHeight="1">
      <c r="B5" s="476"/>
      <c r="C5" s="476"/>
      <c r="K5" s="260"/>
    </row>
    <row r="6" spans="2:11" ht="16.5" customHeight="1">
      <c r="B6" s="476"/>
      <c r="C6" s="478">
        <f>'40 Year Breakdown'!F3</f>
        <v>120000</v>
      </c>
      <c r="K6" s="260"/>
    </row>
    <row r="7" spans="2:11" ht="6" customHeight="1">
      <c r="B7" s="476"/>
      <c r="C7" s="476"/>
      <c r="K7" s="260"/>
    </row>
    <row r="8" spans="2:11" ht="6" customHeight="1">
      <c r="B8" s="476"/>
      <c r="C8" s="476"/>
      <c r="K8" s="260"/>
    </row>
    <row r="9" spans="2:11" ht="6" customHeight="1">
      <c r="B9" s="476"/>
      <c r="C9" s="476"/>
      <c r="K9" s="260"/>
    </row>
    <row r="10" spans="2:11" ht="6" customHeight="1">
      <c r="B10" s="476"/>
      <c r="C10" s="476"/>
      <c r="K10" s="260"/>
    </row>
    <row r="11" spans="2:11" ht="6" customHeight="1">
      <c r="B11" s="476"/>
      <c r="C11" s="476"/>
      <c r="K11" s="260"/>
    </row>
    <row r="12" spans="2:11" ht="6" customHeight="1">
      <c r="B12" s="476"/>
      <c r="C12" s="476"/>
      <c r="K12" s="260"/>
    </row>
    <row r="13" spans="2:11" ht="6" customHeight="1">
      <c r="B13" s="476"/>
      <c r="C13" s="476"/>
      <c r="K13" s="260"/>
    </row>
    <row r="14" spans="2:18" s="423" customFormat="1" ht="9" customHeight="1">
      <c r="B14" s="479">
        <f>'40 Year Breakdown'!C3</f>
        <v>0.03</v>
      </c>
      <c r="C14" s="480" t="s">
        <v>198</v>
      </c>
      <c r="D14" s="298"/>
      <c r="E14" s="298"/>
      <c r="F14" s="298"/>
      <c r="G14" s="298"/>
      <c r="H14" s="298"/>
      <c r="I14" s="298"/>
      <c r="J14" s="298"/>
      <c r="K14" s="298"/>
      <c r="L14" s="298"/>
      <c r="M14" s="298"/>
      <c r="N14" s="298"/>
      <c r="O14" s="298"/>
      <c r="P14" s="298"/>
      <c r="Q14" s="298"/>
      <c r="R14" s="298"/>
    </row>
    <row r="15" spans="2:18" s="423" customFormat="1" ht="9" customHeight="1">
      <c r="B15" s="481"/>
      <c r="C15" s="482"/>
      <c r="D15" s="298"/>
      <c r="E15" s="298"/>
      <c r="F15" s="298"/>
      <c r="G15" s="298"/>
      <c r="H15" s="298"/>
      <c r="I15" s="298"/>
      <c r="J15" s="298"/>
      <c r="K15" s="298"/>
      <c r="L15" s="298"/>
      <c r="M15" s="298"/>
      <c r="N15" s="298"/>
      <c r="O15" s="298"/>
      <c r="P15" s="298"/>
      <c r="Q15" s="298"/>
      <c r="R15" s="298"/>
    </row>
    <row r="16" spans="2:18" s="423" customFormat="1" ht="9" customHeight="1">
      <c r="B16" s="479">
        <f>'40 Year Breakdown'!C5</f>
        <v>0</v>
      </c>
      <c r="C16" s="480" t="s">
        <v>199</v>
      </c>
      <c r="D16" s="298"/>
      <c r="E16" s="298"/>
      <c r="F16" s="298"/>
      <c r="G16" s="298"/>
      <c r="H16" s="298"/>
      <c r="I16" s="298"/>
      <c r="J16" s="298"/>
      <c r="K16" s="298"/>
      <c r="L16" s="298"/>
      <c r="M16" s="298"/>
      <c r="N16" s="298"/>
      <c r="O16" s="298"/>
      <c r="P16" s="298"/>
      <c r="Q16" s="298"/>
      <c r="R16" s="298"/>
    </row>
    <row r="17" s="423" customFormat="1" ht="3.75" customHeight="1"/>
    <row r="18" spans="2:45" s="483" customFormat="1" ht="9.75" customHeight="1">
      <c r="B18" s="601" t="s">
        <v>200</v>
      </c>
      <c r="C18" s="484" t="s">
        <v>201</v>
      </c>
      <c r="D18" s="485"/>
      <c r="E18" s="486">
        <f>IF('40 Year Breakdown'!E7&gt;0,'40 Year Breakdown'!E7,"")</f>
      </c>
      <c r="F18" s="486">
        <f>IF('40 Year Breakdown'!F7&gt;0,'40 Year Breakdown'!F7,"")</f>
      </c>
      <c r="G18" s="486">
        <f>IF('40 Year Breakdown'!G7&gt;0,'40 Year Breakdown'!G7,"")</f>
      </c>
      <c r="H18" s="486">
        <f>IF('40 Year Breakdown'!H7&gt;0,'40 Year Breakdown'!H7,"")</f>
      </c>
      <c r="I18" s="486">
        <f>IF('40 Year Breakdown'!I7&gt;0,'40 Year Breakdown'!I7,"")</f>
      </c>
      <c r="J18" s="486">
        <f>IF('40 Year Breakdown'!J7&gt;0,'40 Year Breakdown'!J7,"")</f>
      </c>
      <c r="K18" s="486">
        <f>IF('40 Year Breakdown'!K7&gt;0,'40 Year Breakdown'!K7,"")</f>
      </c>
      <c r="L18" s="486">
        <f>IF('40 Year Breakdown'!L7&gt;0,'40 Year Breakdown'!L7,"")</f>
      </c>
      <c r="M18" s="486">
        <f>IF('40 Year Breakdown'!M7&gt;0,'40 Year Breakdown'!M7,"")</f>
      </c>
      <c r="N18" s="486">
        <f>IF('40 Year Breakdown'!N7&gt;0,'40 Year Breakdown'!N7,"")</f>
      </c>
      <c r="O18" s="486">
        <f>IF('40 Year Breakdown'!O7&gt;0,'40 Year Breakdown'!O7,"")</f>
      </c>
      <c r="P18" s="486">
        <f>IF('40 Year Breakdown'!P7&gt;0,'40 Year Breakdown'!P7,"")</f>
      </c>
      <c r="Q18" s="486">
        <f>IF('40 Year Breakdown'!Q7&gt;0,'40 Year Breakdown'!Q7,"")</f>
      </c>
      <c r="R18" s="486">
        <f>IF('40 Year Breakdown'!R7&gt;0,'40 Year Breakdown'!R7,"")</f>
      </c>
      <c r="S18" s="486">
        <f>IF('40 Year Breakdown'!S7&gt;0,'40 Year Breakdown'!S7,"")</f>
      </c>
      <c r="T18" s="486">
        <f>IF('40 Year Breakdown'!T7&gt;0,'40 Year Breakdown'!T7,"")</f>
      </c>
      <c r="U18" s="486">
        <f>IF('40 Year Breakdown'!U7&gt;0,'40 Year Breakdown'!U7,"")</f>
      </c>
      <c r="V18" s="486">
        <f>IF('40 Year Breakdown'!V7&gt;0,'40 Year Breakdown'!V7,"")</f>
      </c>
      <c r="W18" s="486">
        <f>IF('40 Year Breakdown'!W7&gt;0,'40 Year Breakdown'!W7,"")</f>
      </c>
      <c r="X18" s="487"/>
      <c r="Y18" s="484" t="s">
        <v>201</v>
      </c>
      <c r="Z18" s="486">
        <f>IF('40 Year Breakdown'!X7&gt;0,'40 Year Breakdown'!X7,"")</f>
      </c>
      <c r="AA18" s="486">
        <f>IF('40 Year Breakdown'!Y7&gt;0,'40 Year Breakdown'!Y7,"")</f>
      </c>
      <c r="AB18" s="486">
        <f>IF('40 Year Breakdown'!Z7&gt;0,'40 Year Breakdown'!Z7,"")</f>
      </c>
      <c r="AC18" s="486">
        <f>IF('40 Year Breakdown'!AA7&gt;0,'40 Year Breakdown'!AA7,"")</f>
      </c>
      <c r="AD18" s="486">
        <f>IF('40 Year Breakdown'!AB7&gt;0,'40 Year Breakdown'!AB7,"")</f>
      </c>
      <c r="AE18" s="486">
        <f>IF('40 Year Breakdown'!AC7&gt;0,'40 Year Breakdown'!AC7,"")</f>
      </c>
      <c r="AF18" s="486">
        <f>IF('40 Year Breakdown'!AD7&gt;0,'40 Year Breakdown'!AD7,"")</f>
      </c>
      <c r="AG18" s="486">
        <f>IF('40 Year Breakdown'!AE7&gt;0,'40 Year Breakdown'!AE7,"")</f>
      </c>
      <c r="AH18" s="486">
        <f>IF('40 Year Breakdown'!AF7&gt;0,'40 Year Breakdown'!AF7,"")</f>
      </c>
      <c r="AI18" s="486">
        <f>IF('40 Year Breakdown'!AG7&gt;0,'40 Year Breakdown'!AG7,"")</f>
      </c>
      <c r="AJ18" s="486">
        <f>IF('40 Year Breakdown'!AH7&gt;0,'40 Year Breakdown'!AH7,"")</f>
      </c>
      <c r="AK18" s="486">
        <f>IF('40 Year Breakdown'!AI7&gt;0,'40 Year Breakdown'!AI7,"")</f>
      </c>
      <c r="AL18" s="486">
        <f>IF('40 Year Breakdown'!AJ7&gt;0,'40 Year Breakdown'!AJ7,"")</f>
      </c>
      <c r="AM18" s="486">
        <f>IF('40 Year Breakdown'!AK7&gt;0,'40 Year Breakdown'!AK7,"")</f>
      </c>
      <c r="AN18" s="486">
        <f>IF('40 Year Breakdown'!AL7&gt;0,'40 Year Breakdown'!AL7,"")</f>
      </c>
      <c r="AO18" s="486">
        <f>IF('40 Year Breakdown'!AM7&gt;0,'40 Year Breakdown'!AM7,"")</f>
      </c>
      <c r="AP18" s="486">
        <f>IF('40 Year Breakdown'!AN7&gt;0,'40 Year Breakdown'!AN7,"")</f>
      </c>
      <c r="AQ18" s="486">
        <f>IF('40 Year Breakdown'!AO7&gt;0,'40 Year Breakdown'!AO7,"")</f>
      </c>
      <c r="AR18" s="486">
        <f>IF('40 Year Breakdown'!AP7&gt;0,'40 Year Breakdown'!AP7,"")</f>
      </c>
      <c r="AS18" s="486">
        <f>IF('40 Year Breakdown'!AQ7&gt;0,'40 Year Breakdown'!AQ7,"")</f>
      </c>
    </row>
    <row r="19" spans="2:45" s="483" customFormat="1" ht="9.75" customHeight="1">
      <c r="B19" s="601"/>
      <c r="C19" s="488" t="s">
        <v>202</v>
      </c>
      <c r="D19" s="489">
        <f>'40 Year Breakdown'!D8</f>
        <v>0.0575</v>
      </c>
      <c r="E19" s="489">
        <f>'40 Year Breakdown'!E8</f>
        <v>0.0575</v>
      </c>
      <c r="F19" s="489">
        <f>'40 Year Breakdown'!F8</f>
        <v>0.0575</v>
      </c>
      <c r="G19" s="489">
        <f>'40 Year Breakdown'!G8</f>
        <v>0.0575</v>
      </c>
      <c r="H19" s="489">
        <f>'40 Year Breakdown'!H8</f>
        <v>0.0575</v>
      </c>
      <c r="I19" s="489">
        <f>'40 Year Breakdown'!I8</f>
        <v>0.0575</v>
      </c>
      <c r="J19" s="489">
        <f>'40 Year Breakdown'!J8</f>
        <v>0.0575</v>
      </c>
      <c r="K19" s="489">
        <f>'40 Year Breakdown'!K8</f>
        <v>0.0575</v>
      </c>
      <c r="L19" s="489">
        <f>'40 Year Breakdown'!L8</f>
        <v>0.0575</v>
      </c>
      <c r="M19" s="489">
        <f>'40 Year Breakdown'!M8</f>
        <v>0.0575</v>
      </c>
      <c r="N19" s="489">
        <f>'40 Year Breakdown'!N8</f>
        <v>0.0575</v>
      </c>
      <c r="O19" s="489">
        <f>'40 Year Breakdown'!O8</f>
        <v>0.0575</v>
      </c>
      <c r="P19" s="489">
        <f>'40 Year Breakdown'!P8</f>
        <v>0.0575</v>
      </c>
      <c r="Q19" s="489">
        <f>'40 Year Breakdown'!Q8</f>
        <v>0.0575</v>
      </c>
      <c r="R19" s="489">
        <f>'40 Year Breakdown'!R8</f>
        <v>0.0575</v>
      </c>
      <c r="S19" s="489">
        <f>'40 Year Breakdown'!S8</f>
        <v>0.0575</v>
      </c>
      <c r="T19" s="489">
        <f>'40 Year Breakdown'!T8</f>
        <v>0.0575</v>
      </c>
      <c r="U19" s="489">
        <f>'40 Year Breakdown'!U8</f>
        <v>0.0575</v>
      </c>
      <c r="V19" s="489">
        <f>'40 Year Breakdown'!V8</f>
        <v>0.0575</v>
      </c>
      <c r="W19" s="489">
        <f>'40 Year Breakdown'!W8</f>
        <v>0.0575</v>
      </c>
      <c r="X19" s="487"/>
      <c r="Y19" s="484"/>
      <c r="Z19" s="490">
        <f>'40 Year Breakdown'!X8</f>
        <v>0.0575</v>
      </c>
      <c r="AA19" s="490">
        <f>'40 Year Breakdown'!Y8</f>
        <v>0.0575</v>
      </c>
      <c r="AB19" s="490">
        <f>'40 Year Breakdown'!Z8</f>
        <v>0.0575</v>
      </c>
      <c r="AC19" s="490">
        <f>'40 Year Breakdown'!AA8</f>
        <v>0.0575</v>
      </c>
      <c r="AD19" s="490">
        <f>'40 Year Breakdown'!AB8</f>
        <v>0.0575</v>
      </c>
      <c r="AE19" s="490">
        <f>'40 Year Breakdown'!AC8</f>
        <v>0.0575</v>
      </c>
      <c r="AF19" s="490">
        <f>'40 Year Breakdown'!AD8</f>
        <v>0.0575</v>
      </c>
      <c r="AG19" s="490">
        <f>'40 Year Breakdown'!AE8</f>
        <v>0.0575</v>
      </c>
      <c r="AH19" s="490">
        <f>'40 Year Breakdown'!AF8</f>
        <v>0.0575</v>
      </c>
      <c r="AI19" s="490">
        <f>'40 Year Breakdown'!AG8</f>
        <v>0.0575</v>
      </c>
      <c r="AJ19" s="490">
        <f>'40 Year Breakdown'!AH8</f>
        <v>0.0575</v>
      </c>
      <c r="AK19" s="490">
        <f>'40 Year Breakdown'!AI8</f>
        <v>0.0575</v>
      </c>
      <c r="AL19" s="490">
        <f>'40 Year Breakdown'!AJ8</f>
        <v>0.0575</v>
      </c>
      <c r="AM19" s="490">
        <f>'40 Year Breakdown'!AK8</f>
        <v>0.0575</v>
      </c>
      <c r="AN19" s="490">
        <f>'40 Year Breakdown'!AL8</f>
        <v>0.0575</v>
      </c>
      <c r="AO19" s="490">
        <f>'40 Year Breakdown'!AM8</f>
        <v>0.0575</v>
      </c>
      <c r="AP19" s="490">
        <f>'40 Year Breakdown'!AN8</f>
        <v>0.0575</v>
      </c>
      <c r="AQ19" s="490">
        <f>'40 Year Breakdown'!AO8</f>
        <v>0.0575</v>
      </c>
      <c r="AR19" s="490">
        <f>'40 Year Breakdown'!AP8</f>
        <v>0.0575</v>
      </c>
      <c r="AS19" s="490">
        <f>'40 Year Breakdown'!AQ8</f>
        <v>0.0575</v>
      </c>
    </row>
    <row r="20" spans="2:45" s="483" customFormat="1" ht="9" customHeight="1">
      <c r="B20" s="601"/>
      <c r="C20" s="484" t="s">
        <v>270</v>
      </c>
      <c r="D20" s="490">
        <f>'40 Year Breakdown'!D9</f>
        <v>0</v>
      </c>
      <c r="E20" s="490">
        <f>'40 Year Breakdown'!E9</f>
        <v>0</v>
      </c>
      <c r="F20" s="490">
        <f>'40 Year Breakdown'!F9</f>
        <v>0</v>
      </c>
      <c r="G20" s="490">
        <f>'40 Year Breakdown'!G9</f>
        <v>0</v>
      </c>
      <c r="H20" s="490">
        <f>'40 Year Breakdown'!H9</f>
        <v>0</v>
      </c>
      <c r="I20" s="490">
        <f>'40 Year Breakdown'!I9</f>
        <v>0</v>
      </c>
      <c r="J20" s="490">
        <f>'40 Year Breakdown'!J9</f>
        <v>0</v>
      </c>
      <c r="K20" s="490">
        <f>'40 Year Breakdown'!K9</f>
        <v>0</v>
      </c>
      <c r="L20" s="490">
        <f>'40 Year Breakdown'!L9</f>
        <v>0</v>
      </c>
      <c r="M20" s="490">
        <f>'40 Year Breakdown'!M9</f>
        <v>0</v>
      </c>
      <c r="N20" s="490">
        <f>'40 Year Breakdown'!N9</f>
        <v>0</v>
      </c>
      <c r="O20" s="490">
        <f>'40 Year Breakdown'!O9</f>
        <v>0</v>
      </c>
      <c r="P20" s="490">
        <f>'40 Year Breakdown'!P9</f>
        <v>0</v>
      </c>
      <c r="Q20" s="490">
        <f>'40 Year Breakdown'!Q9</f>
        <v>0</v>
      </c>
      <c r="R20" s="490">
        <f>'40 Year Breakdown'!R9</f>
        <v>0</v>
      </c>
      <c r="S20" s="490">
        <f>'40 Year Breakdown'!S9</f>
        <v>0</v>
      </c>
      <c r="T20" s="490">
        <f>'40 Year Breakdown'!T9</f>
        <v>0</v>
      </c>
      <c r="U20" s="490">
        <f>'40 Year Breakdown'!U9</f>
        <v>0</v>
      </c>
      <c r="V20" s="490">
        <f>'40 Year Breakdown'!V9</f>
        <v>0</v>
      </c>
      <c r="W20" s="490">
        <f>'40 Year Breakdown'!W9</f>
        <v>0</v>
      </c>
      <c r="X20" s="491"/>
      <c r="Y20" s="484" t="s">
        <v>270</v>
      </c>
      <c r="Z20" s="490">
        <f>'40 Year Breakdown'!X9</f>
        <v>0</v>
      </c>
      <c r="AA20" s="490">
        <f>'40 Year Breakdown'!Y9</f>
        <v>0</v>
      </c>
      <c r="AB20" s="490">
        <f>'40 Year Breakdown'!Z9</f>
        <v>0</v>
      </c>
      <c r="AC20" s="490">
        <f>'40 Year Breakdown'!AA9</f>
        <v>0</v>
      </c>
      <c r="AD20" s="490">
        <f>'40 Year Breakdown'!AB9</f>
        <v>0</v>
      </c>
      <c r="AE20" s="490">
        <f>'40 Year Breakdown'!AC9</f>
        <v>0</v>
      </c>
      <c r="AF20" s="490">
        <f>'40 Year Breakdown'!AD9</f>
        <v>0</v>
      </c>
      <c r="AG20" s="490">
        <f>'40 Year Breakdown'!AE9</f>
        <v>0</v>
      </c>
      <c r="AH20" s="490">
        <f>'40 Year Breakdown'!AF9</f>
        <v>0</v>
      </c>
      <c r="AI20" s="490">
        <f>'40 Year Breakdown'!AG9</f>
        <v>0</v>
      </c>
      <c r="AJ20" s="490">
        <f>'40 Year Breakdown'!AH9</f>
        <v>0</v>
      </c>
      <c r="AK20" s="490">
        <f>'40 Year Breakdown'!AI9</f>
        <v>0</v>
      </c>
      <c r="AL20" s="490">
        <f>'40 Year Breakdown'!AJ9</f>
        <v>0</v>
      </c>
      <c r="AM20" s="490">
        <f>'40 Year Breakdown'!AK9</f>
        <v>0</v>
      </c>
      <c r="AN20" s="490">
        <f>'40 Year Breakdown'!AL9</f>
        <v>0</v>
      </c>
      <c r="AO20" s="490">
        <f>'40 Year Breakdown'!AM9</f>
        <v>0</v>
      </c>
      <c r="AP20" s="490">
        <f>'40 Year Breakdown'!AN9</f>
        <v>0</v>
      </c>
      <c r="AQ20" s="490">
        <f>'40 Year Breakdown'!AO9</f>
        <v>0</v>
      </c>
      <c r="AR20" s="490">
        <f>'40 Year Breakdown'!AP9</f>
        <v>0</v>
      </c>
      <c r="AS20" s="490">
        <f>'40 Year Breakdown'!AQ9</f>
        <v>0</v>
      </c>
    </row>
    <row r="21" spans="2:45" s="423" customFormat="1" ht="7.5" customHeight="1">
      <c r="B21" s="601"/>
      <c r="C21" s="340" t="s">
        <v>204</v>
      </c>
      <c r="D21" s="486">
        <f>IF('40 Year Breakdown'!D10&gt;0,'40 Year Breakdown'!D10,"")</f>
      </c>
      <c r="E21" s="486">
        <f>IF('40 Year Breakdown'!E10&gt;0,'40 Year Breakdown'!E10,"")</f>
      </c>
      <c r="F21" s="486">
        <f>IF('40 Year Breakdown'!F10&gt;0,'40 Year Breakdown'!F10,"")</f>
      </c>
      <c r="G21" s="486">
        <f>IF('40 Year Breakdown'!G10&gt;0,'40 Year Breakdown'!G10,"")</f>
      </c>
      <c r="H21" s="486">
        <f>IF('40 Year Breakdown'!H10&gt;0,'40 Year Breakdown'!H10,"")</f>
      </c>
      <c r="I21" s="486">
        <f>IF('40 Year Breakdown'!I10&gt;0,'40 Year Breakdown'!I10,"")</f>
      </c>
      <c r="J21" s="486">
        <f>IF('40 Year Breakdown'!J10&gt;0,'40 Year Breakdown'!J10,"")</f>
      </c>
      <c r="K21" s="486">
        <f>IF('40 Year Breakdown'!K10&gt;0,'40 Year Breakdown'!K10,"")</f>
      </c>
      <c r="L21" s="486">
        <f>IF('40 Year Breakdown'!L10&gt;0,'40 Year Breakdown'!L10,"")</f>
      </c>
      <c r="M21" s="486">
        <f>IF('40 Year Breakdown'!M10&gt;0,'40 Year Breakdown'!M10,"")</f>
      </c>
      <c r="N21" s="486">
        <f>IF('40 Year Breakdown'!N10&gt;0,'40 Year Breakdown'!N10,"")</f>
      </c>
      <c r="O21" s="486">
        <f>IF('40 Year Breakdown'!O10&gt;0,'40 Year Breakdown'!O10,"")</f>
      </c>
      <c r="P21" s="486">
        <f>IF('40 Year Breakdown'!P10&gt;0,'40 Year Breakdown'!P10,"")</f>
      </c>
      <c r="Q21" s="486">
        <f>IF('40 Year Breakdown'!Q10&gt;0,'40 Year Breakdown'!Q10,"")</f>
      </c>
      <c r="R21" s="486">
        <f>IF('40 Year Breakdown'!R10&gt;0,'40 Year Breakdown'!R10,"")</f>
      </c>
      <c r="S21" s="486">
        <f>IF('40 Year Breakdown'!S10&gt;0,'40 Year Breakdown'!S10,"")</f>
      </c>
      <c r="T21" s="486">
        <f>IF('40 Year Breakdown'!T10&gt;0,'40 Year Breakdown'!T10,"")</f>
      </c>
      <c r="U21" s="486">
        <f>IF('40 Year Breakdown'!U10&gt;0,'40 Year Breakdown'!U10,"")</f>
      </c>
      <c r="V21" s="486">
        <f>IF('40 Year Breakdown'!V10&gt;0,'40 Year Breakdown'!V10,"")</f>
      </c>
      <c r="W21" s="486">
        <f>IF('40 Year Breakdown'!W10&gt;0,'40 Year Breakdown'!W10,"")</f>
      </c>
      <c r="X21" s="487"/>
      <c r="Y21" s="340" t="s">
        <v>204</v>
      </c>
      <c r="Z21" s="486">
        <f>IF('40 Year Breakdown'!X10&gt;0,'40 Year Breakdown'!X10,"")</f>
      </c>
      <c r="AA21" s="486">
        <f>IF('40 Year Breakdown'!Y10&gt;0,'40 Year Breakdown'!Y10,"")</f>
      </c>
      <c r="AB21" s="486">
        <f>IF('40 Year Breakdown'!Z10&gt;0,'40 Year Breakdown'!Z10,"")</f>
      </c>
      <c r="AC21" s="486">
        <f>IF('40 Year Breakdown'!AA10&gt;0,'40 Year Breakdown'!AA10,"")</f>
      </c>
      <c r="AD21" s="486">
        <f>IF('40 Year Breakdown'!AB10&gt;0,'40 Year Breakdown'!AB10,"")</f>
      </c>
      <c r="AE21" s="486">
        <f>IF('40 Year Breakdown'!AC10&gt;0,'40 Year Breakdown'!AC10,"")</f>
      </c>
      <c r="AF21" s="486">
        <f>IF('40 Year Breakdown'!AD10&gt;0,'40 Year Breakdown'!AD10,"")</f>
      </c>
      <c r="AG21" s="486">
        <f>IF('40 Year Breakdown'!AE10&gt;0,'40 Year Breakdown'!AE10,"")</f>
      </c>
      <c r="AH21" s="486">
        <f>IF('40 Year Breakdown'!AF10&gt;0,'40 Year Breakdown'!AF10,"")</f>
      </c>
      <c r="AI21" s="486">
        <f>IF('40 Year Breakdown'!AG10&gt;0,'40 Year Breakdown'!AG10,"")</f>
      </c>
      <c r="AJ21" s="486">
        <f>IF('40 Year Breakdown'!AH10&gt;0,'40 Year Breakdown'!AH10,"")</f>
      </c>
      <c r="AK21" s="486">
        <f>IF('40 Year Breakdown'!AI10&gt;0,'40 Year Breakdown'!AI10,"")</f>
      </c>
      <c r="AL21" s="486">
        <f>IF('40 Year Breakdown'!AJ10&gt;0,'40 Year Breakdown'!AJ10,"")</f>
      </c>
      <c r="AM21" s="486">
        <f>IF('40 Year Breakdown'!AK10&gt;0,'40 Year Breakdown'!AK10,"")</f>
      </c>
      <c r="AN21" s="486">
        <f>IF('40 Year Breakdown'!AL10&gt;0,'40 Year Breakdown'!AL10,"")</f>
      </c>
      <c r="AO21" s="486">
        <f>IF('40 Year Breakdown'!AM10&gt;0,'40 Year Breakdown'!AM10,"")</f>
      </c>
      <c r="AP21" s="486">
        <f>IF('40 Year Breakdown'!AN10&gt;0,'40 Year Breakdown'!AN10,"")</f>
      </c>
      <c r="AQ21" s="486">
        <f>IF('40 Year Breakdown'!AO10&gt;0,'40 Year Breakdown'!AO10,"")</f>
      </c>
      <c r="AR21" s="486">
        <f>IF('40 Year Breakdown'!AP10&gt;0,'40 Year Breakdown'!AP10,"")</f>
      </c>
      <c r="AS21" s="486">
        <f>IF('40 Year Breakdown'!AQ10&gt;0,'40 Year Breakdown'!AQ10,"")</f>
      </c>
    </row>
    <row r="22" spans="2:45" s="423" customFormat="1" ht="9" customHeight="1">
      <c r="B22" s="601"/>
      <c r="C22" s="492" t="s">
        <v>205</v>
      </c>
      <c r="D22" s="484">
        <f>'40 Year Breakdown'!D11</f>
        <v>0.1</v>
      </c>
      <c r="E22" s="484">
        <f>'40 Year Breakdown'!E11</f>
        <v>0.1</v>
      </c>
      <c r="F22" s="484">
        <f>'40 Year Breakdown'!F11</f>
        <v>0.1</v>
      </c>
      <c r="G22" s="484">
        <f>'40 Year Breakdown'!G11</f>
        <v>0.1</v>
      </c>
      <c r="H22" s="484">
        <f>'40 Year Breakdown'!H11</f>
        <v>0.1</v>
      </c>
      <c r="I22" s="484">
        <f>'40 Year Breakdown'!I11</f>
        <v>0.1</v>
      </c>
      <c r="J22" s="484">
        <f>'40 Year Breakdown'!J11</f>
        <v>0.1</v>
      </c>
      <c r="K22" s="484">
        <f>'40 Year Breakdown'!K11</f>
        <v>0.1</v>
      </c>
      <c r="L22" s="484">
        <f>'40 Year Breakdown'!L11</f>
        <v>0.1</v>
      </c>
      <c r="M22" s="484">
        <f>'40 Year Breakdown'!M11</f>
        <v>0.1</v>
      </c>
      <c r="N22" s="484">
        <f>'40 Year Breakdown'!N11</f>
        <v>0.1</v>
      </c>
      <c r="O22" s="484">
        <f>'40 Year Breakdown'!O11</f>
        <v>0.1</v>
      </c>
      <c r="P22" s="484">
        <f>'40 Year Breakdown'!P11</f>
        <v>0.1</v>
      </c>
      <c r="Q22" s="484">
        <f>'40 Year Breakdown'!Q11</f>
        <v>0.1</v>
      </c>
      <c r="R22" s="484">
        <f>'40 Year Breakdown'!R11</f>
        <v>0.1</v>
      </c>
      <c r="S22" s="484">
        <f>'40 Year Breakdown'!S11</f>
        <v>0.1</v>
      </c>
      <c r="T22" s="484">
        <f>'40 Year Breakdown'!T11</f>
        <v>0.1</v>
      </c>
      <c r="U22" s="484">
        <f>'40 Year Breakdown'!U11</f>
        <v>0.1</v>
      </c>
      <c r="V22" s="484">
        <f>'40 Year Breakdown'!V11</f>
        <v>0.1</v>
      </c>
      <c r="W22" s="484">
        <f>'40 Year Breakdown'!W11</f>
        <v>0.1</v>
      </c>
      <c r="X22" s="483"/>
      <c r="Y22" s="492" t="s">
        <v>205</v>
      </c>
      <c r="Z22" s="484">
        <f>'40 Year Breakdown'!X11</f>
        <v>0.1</v>
      </c>
      <c r="AA22" s="484">
        <f>'40 Year Breakdown'!Y11</f>
        <v>0.1</v>
      </c>
      <c r="AB22" s="484">
        <f>'40 Year Breakdown'!Z11</f>
        <v>0.1</v>
      </c>
      <c r="AC22" s="484">
        <f>'40 Year Breakdown'!AA11</f>
        <v>0.1</v>
      </c>
      <c r="AD22" s="484">
        <f>'40 Year Breakdown'!AB11</f>
        <v>0.1</v>
      </c>
      <c r="AE22" s="484">
        <f>'40 Year Breakdown'!AC11</f>
        <v>0.1</v>
      </c>
      <c r="AF22" s="484">
        <f>'40 Year Breakdown'!AD11</f>
        <v>0.1</v>
      </c>
      <c r="AG22" s="484">
        <f>'40 Year Breakdown'!AE11</f>
        <v>0.1</v>
      </c>
      <c r="AH22" s="484">
        <f>'40 Year Breakdown'!AF11</f>
        <v>0.1</v>
      </c>
      <c r="AI22" s="484">
        <f>'40 Year Breakdown'!AG11</f>
        <v>0.1</v>
      </c>
      <c r="AJ22" s="484">
        <f>'40 Year Breakdown'!AH11</f>
        <v>0.1</v>
      </c>
      <c r="AK22" s="484">
        <f>'40 Year Breakdown'!AI11</f>
        <v>0.1</v>
      </c>
      <c r="AL22" s="484">
        <f>'40 Year Breakdown'!AJ11</f>
        <v>0.1</v>
      </c>
      <c r="AM22" s="484">
        <f>'40 Year Breakdown'!AK11</f>
        <v>0.1</v>
      </c>
      <c r="AN22" s="484">
        <f>'40 Year Breakdown'!AL11</f>
        <v>0.1</v>
      </c>
      <c r="AO22" s="484">
        <f>'40 Year Breakdown'!AM11</f>
        <v>0.1</v>
      </c>
      <c r="AP22" s="484">
        <f>'40 Year Breakdown'!AN11</f>
        <v>0.1</v>
      </c>
      <c r="AQ22" s="484">
        <f>'40 Year Breakdown'!AO11</f>
        <v>0.1</v>
      </c>
      <c r="AR22" s="484">
        <f>'40 Year Breakdown'!AP11</f>
        <v>0.1</v>
      </c>
      <c r="AS22" s="484">
        <f>'40 Year Breakdown'!AQ11</f>
        <v>0.1</v>
      </c>
    </row>
    <row r="23" spans="2:45" s="423" customFormat="1" ht="9" customHeight="1">
      <c r="B23" s="601"/>
      <c r="C23" s="340" t="s">
        <v>206</v>
      </c>
      <c r="D23" s="493">
        <f>IF('40 Year Breakdown'!D12&lt;&gt;0,'40 Year Breakdown'!D12,"")</f>
      </c>
      <c r="E23" s="493">
        <f>IF('40 Year Breakdown'!E12&lt;&gt;0,'40 Year Breakdown'!E12,"")</f>
      </c>
      <c r="F23" s="493">
        <f>IF('40 Year Breakdown'!F12&lt;&gt;0,'40 Year Breakdown'!F12,"")</f>
      </c>
      <c r="G23" s="493">
        <f>IF('40 Year Breakdown'!G12&lt;&gt;0,'40 Year Breakdown'!G12,"")</f>
      </c>
      <c r="H23" s="493">
        <f>IF('40 Year Breakdown'!H12&lt;&gt;0,'40 Year Breakdown'!H12,"")</f>
        <v>5</v>
      </c>
      <c r="I23" s="493">
        <f>IF('40 Year Breakdown'!I12&lt;&gt;0,'40 Year Breakdown'!I12,"")</f>
      </c>
      <c r="J23" s="493">
        <f>IF('40 Year Breakdown'!J12&lt;&gt;0,'40 Year Breakdown'!J12,"")</f>
      </c>
      <c r="K23" s="493">
        <f>IF('40 Year Breakdown'!K12&lt;&gt;0,'40 Year Breakdown'!K12,"")</f>
      </c>
      <c r="L23" s="493">
        <f>IF('40 Year Breakdown'!L12&lt;&gt;0,'40 Year Breakdown'!L12,"")</f>
      </c>
      <c r="M23" s="493">
        <f>IF('40 Year Breakdown'!M12&lt;&gt;0,'40 Year Breakdown'!M12,"")</f>
        <v>5</v>
      </c>
      <c r="N23" s="493">
        <f>IF('40 Year Breakdown'!N12&lt;&gt;0,'40 Year Breakdown'!N12,"")</f>
      </c>
      <c r="O23" s="493">
        <f>IF('40 Year Breakdown'!O12&lt;&gt;0,'40 Year Breakdown'!O12,"")</f>
      </c>
      <c r="P23" s="493">
        <f>IF('40 Year Breakdown'!P12&lt;&gt;0,'40 Year Breakdown'!P12,"")</f>
      </c>
      <c r="Q23" s="493">
        <f>IF('40 Year Breakdown'!Q12&lt;&gt;0,'40 Year Breakdown'!Q12,"")</f>
      </c>
      <c r="R23" s="493">
        <f>IF('40 Year Breakdown'!R12&lt;&gt;0,'40 Year Breakdown'!R12,"")</f>
        <v>5</v>
      </c>
      <c r="S23" s="493">
        <f>IF('40 Year Breakdown'!S12&lt;&gt;0,'40 Year Breakdown'!S12,"")</f>
      </c>
      <c r="T23" s="493">
        <f>IF('40 Year Breakdown'!T12&lt;&gt;0,'40 Year Breakdown'!T12,"")</f>
      </c>
      <c r="U23" s="493">
        <f>IF('40 Year Breakdown'!U12&lt;&gt;0,'40 Year Breakdown'!U12,"")</f>
      </c>
      <c r="V23" s="493">
        <f>IF('40 Year Breakdown'!V12&lt;&gt;0,'40 Year Breakdown'!V12,"")</f>
      </c>
      <c r="W23" s="493">
        <f>IF('40 Year Breakdown'!W12&lt;&gt;0,'40 Year Breakdown'!W12,"")</f>
        <v>5</v>
      </c>
      <c r="X23" s="494"/>
      <c r="Y23" s="340" t="s">
        <v>206</v>
      </c>
      <c r="Z23" s="493">
        <f>IF('40 Year Breakdown'!X12&lt;&gt;0,'40 Year Breakdown'!X12,"")</f>
      </c>
      <c r="AA23" s="493">
        <f>IF('40 Year Breakdown'!Y12&lt;&gt;0,'40 Year Breakdown'!Y12,"")</f>
      </c>
      <c r="AB23" s="493">
        <f>IF('40 Year Breakdown'!Z12&lt;&gt;0,'40 Year Breakdown'!Z12,"")</f>
      </c>
      <c r="AC23" s="493">
        <f>IF('40 Year Breakdown'!AA12&lt;&gt;0,'40 Year Breakdown'!AA12,"")</f>
      </c>
      <c r="AD23" s="493">
        <f>IF('40 Year Breakdown'!AB12&lt;&gt;0,'40 Year Breakdown'!AB12,"")</f>
        <v>5</v>
      </c>
      <c r="AE23" s="493">
        <f>IF('40 Year Breakdown'!AC12&lt;&gt;0,'40 Year Breakdown'!AC12,"")</f>
      </c>
      <c r="AF23" s="493">
        <f>IF('40 Year Breakdown'!AD12&lt;&gt;0,'40 Year Breakdown'!AD12,"")</f>
      </c>
      <c r="AG23" s="493">
        <f>IF('40 Year Breakdown'!AE12&lt;&gt;0,'40 Year Breakdown'!AE12,"")</f>
      </c>
      <c r="AH23" s="493">
        <f>IF('40 Year Breakdown'!AF12&lt;&gt;0,'40 Year Breakdown'!AF12,"")</f>
      </c>
      <c r="AI23" s="493">
        <f>IF('40 Year Breakdown'!AG12&lt;&gt;0,'40 Year Breakdown'!AG12,"")</f>
        <v>5</v>
      </c>
      <c r="AJ23" s="493">
        <f>IF('40 Year Breakdown'!AH12&lt;&gt;0,'40 Year Breakdown'!AH12,"")</f>
      </c>
      <c r="AK23" s="493">
        <f>IF('40 Year Breakdown'!AI12&lt;&gt;0,'40 Year Breakdown'!AI12,"")</f>
      </c>
      <c r="AL23" s="493">
        <f>IF('40 Year Breakdown'!AJ12&lt;&gt;0,'40 Year Breakdown'!AJ12,"")</f>
      </c>
      <c r="AM23" s="493">
        <f>IF('40 Year Breakdown'!AK12&lt;&gt;0,'40 Year Breakdown'!AK12,"")</f>
      </c>
      <c r="AN23" s="493">
        <f>IF('40 Year Breakdown'!AL12&lt;&gt;0,'40 Year Breakdown'!AL12,"")</f>
        <v>5</v>
      </c>
      <c r="AO23" s="493">
        <f>IF('40 Year Breakdown'!AM12&lt;&gt;0,'40 Year Breakdown'!AM12,"")</f>
      </c>
      <c r="AP23" s="493">
        <f>IF('40 Year Breakdown'!AN12&lt;&gt;0,'40 Year Breakdown'!AN12,"")</f>
      </c>
      <c r="AQ23" s="493">
        <f>IF('40 Year Breakdown'!AO12&lt;&gt;0,'40 Year Breakdown'!AO12,"")</f>
      </c>
      <c r="AR23" s="493">
        <f>IF('40 Year Breakdown'!AP12&lt;&gt;0,'40 Year Breakdown'!AP12,"")</f>
      </c>
      <c r="AS23" s="493">
        <f>IF('40 Year Breakdown'!AQ12&lt;&gt;0,'40 Year Breakdown'!AQ12,"")</f>
        <v>5</v>
      </c>
    </row>
    <row r="24" spans="1:46" s="273" customFormat="1" ht="9" customHeight="1">
      <c r="A24" s="293"/>
      <c r="B24" s="601"/>
      <c r="C24" s="364" t="s">
        <v>271</v>
      </c>
      <c r="D24" s="364">
        <f>'40 Year Breakdown'!D13</f>
        <v>0</v>
      </c>
      <c r="E24" s="364">
        <f>'40 Year Breakdown'!E13</f>
        <v>0</v>
      </c>
      <c r="F24" s="364">
        <f>'40 Year Breakdown'!F13</f>
        <v>0</v>
      </c>
      <c r="G24" s="364">
        <f>'40 Year Breakdown'!G13</f>
        <v>0</v>
      </c>
      <c r="H24" s="364">
        <f>'40 Year Breakdown'!H13</f>
        <v>5</v>
      </c>
      <c r="I24" s="364">
        <f>'40 Year Breakdown'!I13</f>
        <v>5</v>
      </c>
      <c r="J24" s="364">
        <f>'40 Year Breakdown'!J13</f>
        <v>5</v>
      </c>
      <c r="K24" s="364">
        <f>'40 Year Breakdown'!K13</f>
        <v>5</v>
      </c>
      <c r="L24" s="364">
        <f>'40 Year Breakdown'!L13</f>
        <v>5</v>
      </c>
      <c r="M24" s="364">
        <f>'40 Year Breakdown'!M13</f>
        <v>10</v>
      </c>
      <c r="N24" s="364">
        <f>'40 Year Breakdown'!N13</f>
        <v>10</v>
      </c>
      <c r="O24" s="364">
        <f>'40 Year Breakdown'!O13</f>
        <v>10</v>
      </c>
      <c r="P24" s="364">
        <f>'40 Year Breakdown'!P13</f>
        <v>10</v>
      </c>
      <c r="Q24" s="364">
        <f>'40 Year Breakdown'!Q13</f>
        <v>10</v>
      </c>
      <c r="R24" s="364">
        <f>'40 Year Breakdown'!R13</f>
        <v>15</v>
      </c>
      <c r="S24" s="364">
        <f>'40 Year Breakdown'!S13</f>
        <v>15</v>
      </c>
      <c r="T24" s="364">
        <f>'40 Year Breakdown'!T13</f>
        <v>15</v>
      </c>
      <c r="U24" s="364">
        <f>'40 Year Breakdown'!U13</f>
        <v>15</v>
      </c>
      <c r="V24" s="364">
        <f>'40 Year Breakdown'!V13</f>
        <v>15</v>
      </c>
      <c r="W24" s="364">
        <f>'40 Year Breakdown'!W13</f>
        <v>20</v>
      </c>
      <c r="Y24" s="364" t="s">
        <v>271</v>
      </c>
      <c r="Z24" s="364">
        <f>'40 Year Breakdown'!X13</f>
        <v>20</v>
      </c>
      <c r="AA24" s="364">
        <f>'40 Year Breakdown'!Y13</f>
        <v>20</v>
      </c>
      <c r="AB24" s="364">
        <f>'40 Year Breakdown'!Z13</f>
        <v>20</v>
      </c>
      <c r="AC24" s="364">
        <f>'40 Year Breakdown'!AA13</f>
        <v>20</v>
      </c>
      <c r="AD24" s="364">
        <f>'40 Year Breakdown'!AB13</f>
        <v>25</v>
      </c>
      <c r="AE24" s="364">
        <f>'40 Year Breakdown'!AC13</f>
        <v>25</v>
      </c>
      <c r="AF24" s="364">
        <f>'40 Year Breakdown'!AD13</f>
        <v>25</v>
      </c>
      <c r="AG24" s="364">
        <f>'40 Year Breakdown'!AE13</f>
        <v>25</v>
      </c>
      <c r="AH24" s="364">
        <f>'40 Year Breakdown'!AF13</f>
        <v>25</v>
      </c>
      <c r="AI24" s="364">
        <f>'40 Year Breakdown'!AG13</f>
        <v>30</v>
      </c>
      <c r="AJ24" s="364">
        <f>'40 Year Breakdown'!AH13</f>
        <v>30</v>
      </c>
      <c r="AK24" s="364">
        <f>'40 Year Breakdown'!AI13</f>
        <v>30</v>
      </c>
      <c r="AL24" s="364">
        <f>'40 Year Breakdown'!AJ13</f>
        <v>30</v>
      </c>
      <c r="AM24" s="364">
        <f>'40 Year Breakdown'!AK13</f>
        <v>30</v>
      </c>
      <c r="AN24" s="364">
        <f>'40 Year Breakdown'!AL13</f>
        <v>35</v>
      </c>
      <c r="AO24" s="364">
        <f>'40 Year Breakdown'!AM13</f>
        <v>35</v>
      </c>
      <c r="AP24" s="364">
        <f>'40 Year Breakdown'!AN13</f>
        <v>35</v>
      </c>
      <c r="AQ24" s="364">
        <f>'40 Year Breakdown'!AO13</f>
        <v>35</v>
      </c>
      <c r="AR24" s="364">
        <f>'40 Year Breakdown'!AP13</f>
        <v>35</v>
      </c>
      <c r="AS24" s="364">
        <f>'40 Year Breakdown'!AQ13</f>
        <v>40</v>
      </c>
      <c r="AT24" s="495" t="s">
        <v>208</v>
      </c>
    </row>
    <row r="25" spans="1:46" s="497" customFormat="1" ht="9" customHeight="1">
      <c r="A25" s="496"/>
      <c r="B25" s="496"/>
      <c r="C25" s="496" t="s">
        <v>98</v>
      </c>
      <c r="D25" s="496">
        <v>1</v>
      </c>
      <c r="E25" s="496">
        <v>2</v>
      </c>
      <c r="F25" s="496">
        <v>3</v>
      </c>
      <c r="G25" s="496">
        <v>4</v>
      </c>
      <c r="H25" s="496">
        <v>5</v>
      </c>
      <c r="I25" s="496">
        <v>6</v>
      </c>
      <c r="J25" s="496">
        <v>7</v>
      </c>
      <c r="K25" s="496">
        <v>8</v>
      </c>
      <c r="L25" s="496">
        <v>9</v>
      </c>
      <c r="M25" s="496">
        <v>10</v>
      </c>
      <c r="N25" s="496">
        <v>11</v>
      </c>
      <c r="O25" s="496">
        <v>12</v>
      </c>
      <c r="P25" s="496">
        <v>13</v>
      </c>
      <c r="Q25" s="496">
        <v>14</v>
      </c>
      <c r="R25" s="496">
        <v>15</v>
      </c>
      <c r="S25" s="496">
        <v>16</v>
      </c>
      <c r="T25" s="496">
        <v>17</v>
      </c>
      <c r="U25" s="496">
        <v>18</v>
      </c>
      <c r="V25" s="496">
        <v>19</v>
      </c>
      <c r="W25" s="496">
        <v>20</v>
      </c>
      <c r="Y25" s="496" t="s">
        <v>98</v>
      </c>
      <c r="Z25" s="496">
        <v>21</v>
      </c>
      <c r="AA25" s="496">
        <v>22</v>
      </c>
      <c r="AB25" s="496">
        <v>23</v>
      </c>
      <c r="AC25" s="496">
        <v>24</v>
      </c>
      <c r="AD25" s="496">
        <v>25</v>
      </c>
      <c r="AE25" s="496">
        <v>26</v>
      </c>
      <c r="AF25" s="496">
        <v>27</v>
      </c>
      <c r="AG25" s="496">
        <v>28</v>
      </c>
      <c r="AH25" s="496">
        <v>29</v>
      </c>
      <c r="AI25" s="496">
        <v>30</v>
      </c>
      <c r="AJ25" s="496">
        <f aca="true" t="shared" si="0" ref="AJ25:AS25">AI25+1</f>
        <v>31</v>
      </c>
      <c r="AK25" s="496">
        <f t="shared" si="0"/>
        <v>32</v>
      </c>
      <c r="AL25" s="496">
        <f t="shared" si="0"/>
        <v>33</v>
      </c>
      <c r="AM25" s="496">
        <f t="shared" si="0"/>
        <v>34</v>
      </c>
      <c r="AN25" s="496">
        <f t="shared" si="0"/>
        <v>35</v>
      </c>
      <c r="AO25" s="496">
        <f t="shared" si="0"/>
        <v>36</v>
      </c>
      <c r="AP25" s="496">
        <f t="shared" si="0"/>
        <v>37</v>
      </c>
      <c r="AQ25" s="496">
        <f t="shared" si="0"/>
        <v>38</v>
      </c>
      <c r="AR25" s="496">
        <f t="shared" si="0"/>
        <v>39</v>
      </c>
      <c r="AS25" s="496">
        <f t="shared" si="0"/>
        <v>40</v>
      </c>
      <c r="AT25" s="496"/>
    </row>
    <row r="26" spans="1:46" s="271" customFormat="1" ht="6" customHeight="1">
      <c r="A26" s="282"/>
      <c r="B26" s="498"/>
      <c r="C26" s="278"/>
      <c r="D26" s="278"/>
      <c r="E26" s="278"/>
      <c r="F26" s="278"/>
      <c r="G26" s="278"/>
      <c r="H26" s="278"/>
      <c r="I26" s="278"/>
      <c r="J26" s="278"/>
      <c r="K26" s="278"/>
      <c r="L26" s="278"/>
      <c r="M26" s="278"/>
      <c r="N26" s="278"/>
      <c r="O26" s="278"/>
      <c r="P26" s="278"/>
      <c r="Q26" s="278"/>
      <c r="R26" s="278"/>
      <c r="S26" s="278"/>
      <c r="T26" s="278"/>
      <c r="U26" s="278"/>
      <c r="V26" s="278"/>
      <c r="W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row>
    <row r="27" spans="1:46" s="273" customFormat="1" ht="9" customHeight="1">
      <c r="A27" s="284"/>
      <c r="B27" s="499" t="s">
        <v>160</v>
      </c>
      <c r="C27" s="340" t="s">
        <v>127</v>
      </c>
      <c r="D27" s="367">
        <f>'40 Year Breakdown'!D17</f>
        <v>1000</v>
      </c>
      <c r="E27" s="367">
        <f>'40 Year Breakdown'!E17</f>
        <v>0</v>
      </c>
      <c r="F27" s="367">
        <f>'40 Year Breakdown'!F17</f>
        <v>0</v>
      </c>
      <c r="G27" s="367">
        <f>'40 Year Breakdown'!G17</f>
        <v>0</v>
      </c>
      <c r="H27" s="367">
        <f>'40 Year Breakdown'!H17</f>
        <v>0</v>
      </c>
      <c r="I27" s="367">
        <f>'40 Year Breakdown'!I17</f>
        <v>0</v>
      </c>
      <c r="J27" s="367">
        <f>'40 Year Breakdown'!J17</f>
        <v>0</v>
      </c>
      <c r="K27" s="367">
        <f>'40 Year Breakdown'!K17</f>
        <v>0</v>
      </c>
      <c r="L27" s="367">
        <f>'40 Year Breakdown'!L17</f>
        <v>0</v>
      </c>
      <c r="M27" s="367">
        <f>'40 Year Breakdown'!M17</f>
        <v>0</v>
      </c>
      <c r="N27" s="367">
        <f>'40 Year Breakdown'!N17</f>
        <v>0</v>
      </c>
      <c r="O27" s="367">
        <f>'40 Year Breakdown'!O17</f>
        <v>0</v>
      </c>
      <c r="P27" s="367">
        <f>'40 Year Breakdown'!P17</f>
        <v>0</v>
      </c>
      <c r="Q27" s="367">
        <f>'40 Year Breakdown'!Q17</f>
        <v>0</v>
      </c>
      <c r="R27" s="367">
        <f>'40 Year Breakdown'!R17</f>
        <v>0</v>
      </c>
      <c r="S27" s="367">
        <f>'40 Year Breakdown'!S17</f>
        <v>0</v>
      </c>
      <c r="T27" s="367">
        <f>'40 Year Breakdown'!T17</f>
        <v>0</v>
      </c>
      <c r="U27" s="367">
        <f>'40 Year Breakdown'!U17</f>
        <v>0</v>
      </c>
      <c r="V27" s="367">
        <f>'40 Year Breakdown'!V17</f>
        <v>0</v>
      </c>
      <c r="W27" s="367">
        <f>'40 Year Breakdown'!W17</f>
        <v>0</v>
      </c>
      <c r="X27" s="500"/>
      <c r="Y27" s="340" t="s">
        <v>127</v>
      </c>
      <c r="Z27" s="367">
        <f>'40 Year Breakdown'!X17</f>
        <v>0</v>
      </c>
      <c r="AA27" s="367">
        <f>'40 Year Breakdown'!Y17</f>
        <v>0</v>
      </c>
      <c r="AB27" s="367">
        <f>'40 Year Breakdown'!Z17</f>
        <v>0</v>
      </c>
      <c r="AC27" s="367">
        <f>'40 Year Breakdown'!AA17</f>
        <v>0</v>
      </c>
      <c r="AD27" s="367">
        <f>'40 Year Breakdown'!AB17</f>
        <v>0</v>
      </c>
      <c r="AE27" s="367">
        <f>'40 Year Breakdown'!AC17</f>
        <v>0</v>
      </c>
      <c r="AF27" s="367">
        <f>'40 Year Breakdown'!AD17</f>
        <v>0</v>
      </c>
      <c r="AG27" s="367">
        <f>'40 Year Breakdown'!AE17</f>
        <v>0</v>
      </c>
      <c r="AH27" s="367">
        <f>'40 Year Breakdown'!AF17</f>
        <v>0</v>
      </c>
      <c r="AI27" s="367">
        <f>'40 Year Breakdown'!AG17</f>
        <v>0</v>
      </c>
      <c r="AJ27" s="367">
        <f>'40 Year Breakdown'!AH17</f>
        <v>0</v>
      </c>
      <c r="AK27" s="367">
        <f>'40 Year Breakdown'!AI17</f>
        <v>0</v>
      </c>
      <c r="AL27" s="367">
        <f>'40 Year Breakdown'!AJ17</f>
        <v>0</v>
      </c>
      <c r="AM27" s="367">
        <f>'40 Year Breakdown'!AK17</f>
        <v>0</v>
      </c>
      <c r="AN27" s="367">
        <f>'40 Year Breakdown'!AL17</f>
        <v>0</v>
      </c>
      <c r="AO27" s="367">
        <f>'40 Year Breakdown'!AM17</f>
        <v>0</v>
      </c>
      <c r="AP27" s="367">
        <f>'40 Year Breakdown'!AN17</f>
        <v>0</v>
      </c>
      <c r="AQ27" s="367">
        <f>'40 Year Breakdown'!AO17</f>
        <v>0</v>
      </c>
      <c r="AR27" s="367">
        <f>'40 Year Breakdown'!AP17</f>
        <v>0</v>
      </c>
      <c r="AS27" s="367">
        <f>'40 Year Breakdown'!AQ17</f>
        <v>0</v>
      </c>
      <c r="AT27" s="367">
        <f>'40 Year Breakdown'!AS17</f>
        <v>1000</v>
      </c>
    </row>
    <row r="28" spans="1:46" s="273" customFormat="1" ht="9" customHeight="1">
      <c r="A28" s="284"/>
      <c r="B28" s="293"/>
      <c r="C28" s="340" t="s">
        <v>209</v>
      </c>
      <c r="D28" s="367">
        <f>Loans!G12</f>
        <v>100000</v>
      </c>
      <c r="E28" s="501" t="str">
        <f>'40 Year Breakdown'!E18</f>
        <v>n/a</v>
      </c>
      <c r="F28" s="501" t="str">
        <f>'40 Year Breakdown'!F18</f>
        <v>n/a</v>
      </c>
      <c r="G28" s="501" t="str">
        <f>'40 Year Breakdown'!G18</f>
        <v>n/a</v>
      </c>
      <c r="H28" s="501" t="str">
        <f>'40 Year Breakdown'!H18</f>
        <v>n/a</v>
      </c>
      <c r="I28" s="501" t="str">
        <f>'40 Year Breakdown'!I18</f>
        <v>n/a</v>
      </c>
      <c r="J28" s="501" t="str">
        <f>'40 Year Breakdown'!J18</f>
        <v>n/a</v>
      </c>
      <c r="K28" s="501" t="str">
        <f>'40 Year Breakdown'!K18</f>
        <v>n/a</v>
      </c>
      <c r="L28" s="501" t="str">
        <f>'40 Year Breakdown'!L18</f>
        <v>n/a</v>
      </c>
      <c r="M28" s="501" t="str">
        <f>'40 Year Breakdown'!M18</f>
        <v>n/a</v>
      </c>
      <c r="N28" s="501" t="str">
        <f>'40 Year Breakdown'!N18</f>
        <v>n/a</v>
      </c>
      <c r="O28" s="501" t="str">
        <f>'40 Year Breakdown'!O18</f>
        <v>n/a</v>
      </c>
      <c r="P28" s="501" t="str">
        <f>'40 Year Breakdown'!P18</f>
        <v>n/a</v>
      </c>
      <c r="Q28" s="501" t="str">
        <f>'40 Year Breakdown'!Q18</f>
        <v>n/a</v>
      </c>
      <c r="R28" s="501" t="str">
        <f>'40 Year Breakdown'!R18</f>
        <v>n/a</v>
      </c>
      <c r="S28" s="501" t="str">
        <f>'40 Year Breakdown'!S18</f>
        <v>n/a</v>
      </c>
      <c r="T28" s="501" t="str">
        <f>'40 Year Breakdown'!T18</f>
        <v>n/a</v>
      </c>
      <c r="U28" s="501" t="str">
        <f>'40 Year Breakdown'!U18</f>
        <v>n/a</v>
      </c>
      <c r="V28" s="501" t="str">
        <f>'40 Year Breakdown'!V18</f>
        <v>n/a</v>
      </c>
      <c r="W28" s="501" t="str">
        <f>'40 Year Breakdown'!W18</f>
        <v>n/a</v>
      </c>
      <c r="X28" s="500"/>
      <c r="Y28" s="340" t="s">
        <v>209</v>
      </c>
      <c r="Z28" s="501" t="str">
        <f>'40 Year Breakdown'!X18</f>
        <v>n/a</v>
      </c>
      <c r="AA28" s="501" t="str">
        <f>'40 Year Breakdown'!Y18</f>
        <v>n/a</v>
      </c>
      <c r="AB28" s="501" t="str">
        <f>'40 Year Breakdown'!Z18</f>
        <v>n/a</v>
      </c>
      <c r="AC28" s="501" t="str">
        <f>'40 Year Breakdown'!AA18</f>
        <v>n/a</v>
      </c>
      <c r="AD28" s="501" t="str">
        <f>'40 Year Breakdown'!AB18</f>
        <v>n/a</v>
      </c>
      <c r="AE28" s="501" t="str">
        <f>'40 Year Breakdown'!AC18</f>
        <v>n/a</v>
      </c>
      <c r="AF28" s="501" t="str">
        <f>'40 Year Breakdown'!AD18</f>
        <v>n/a</v>
      </c>
      <c r="AG28" s="501" t="str">
        <f>'40 Year Breakdown'!AE18</f>
        <v>n/a</v>
      </c>
      <c r="AH28" s="501" t="str">
        <f>'40 Year Breakdown'!AF18</f>
        <v>n/a</v>
      </c>
      <c r="AI28" s="501" t="str">
        <f>'40 Year Breakdown'!AG18</f>
        <v>n/a</v>
      </c>
      <c r="AJ28" s="501" t="str">
        <f>'40 Year Breakdown'!AH18</f>
        <v>n/a</v>
      </c>
      <c r="AK28" s="501" t="str">
        <f>'40 Year Breakdown'!AI18</f>
        <v>n/a</v>
      </c>
      <c r="AL28" s="501" t="str">
        <f>'40 Year Breakdown'!AJ18</f>
        <v>n/a</v>
      </c>
      <c r="AM28" s="501" t="str">
        <f>'40 Year Breakdown'!AK18</f>
        <v>n/a</v>
      </c>
      <c r="AN28" s="501" t="str">
        <f>'40 Year Breakdown'!AL18</f>
        <v>n/a</v>
      </c>
      <c r="AO28" s="501" t="str">
        <f>'40 Year Breakdown'!AM18</f>
        <v>n/a</v>
      </c>
      <c r="AP28" s="501" t="str">
        <f>'40 Year Breakdown'!AN18</f>
        <v>n/a</v>
      </c>
      <c r="AQ28" s="501" t="str">
        <f>'40 Year Breakdown'!AO18</f>
        <v>n/a</v>
      </c>
      <c r="AR28" s="501" t="str">
        <f>'40 Year Breakdown'!AP18</f>
        <v>n/a</v>
      </c>
      <c r="AS28" s="501" t="str">
        <f>'40 Year Breakdown'!AQ18</f>
        <v>n/a</v>
      </c>
      <c r="AT28" s="367"/>
    </row>
    <row r="29" spans="1:46" s="273" customFormat="1" ht="9" customHeight="1">
      <c r="A29" s="284"/>
      <c r="B29" s="293"/>
      <c r="C29" s="340" t="s">
        <v>44</v>
      </c>
      <c r="D29" s="367">
        <f>'Inc &amp; Exp'!G52</f>
        <v>0</v>
      </c>
      <c r="E29" s="502">
        <f>IF('40 Year Breakdown'!E19&lt;&gt;0,'40 Year Breakdown'!E19,"")</f>
      </c>
      <c r="F29" s="502">
        <f>IF('40 Year Breakdown'!F19&lt;&gt;0,'40 Year Breakdown'!F19,"")</f>
      </c>
      <c r="G29" s="502">
        <f>IF('40 Year Breakdown'!G19&lt;&gt;0,'40 Year Breakdown'!G19,"")</f>
      </c>
      <c r="H29" s="502">
        <f>IF('40 Year Breakdown'!H19&lt;&gt;0,'40 Year Breakdown'!H19,"")</f>
      </c>
      <c r="I29" s="502">
        <f>IF('40 Year Breakdown'!I19&lt;&gt;0,'40 Year Breakdown'!I19,"")</f>
      </c>
      <c r="J29" s="502">
        <f>IF('40 Year Breakdown'!J19&lt;&gt;0,'40 Year Breakdown'!J19,"")</f>
      </c>
      <c r="K29" s="502">
        <f>IF('40 Year Breakdown'!K19&lt;&gt;0,'40 Year Breakdown'!K19,"")</f>
      </c>
      <c r="L29" s="502">
        <f>IF('40 Year Breakdown'!L19&lt;&gt;0,'40 Year Breakdown'!L19,"")</f>
      </c>
      <c r="M29" s="502">
        <f>IF('40 Year Breakdown'!M19&lt;&gt;0,'40 Year Breakdown'!M19,"")</f>
      </c>
      <c r="N29" s="502">
        <f>IF('40 Year Breakdown'!N19&lt;&gt;0,'40 Year Breakdown'!N19,"")</f>
      </c>
      <c r="O29" s="502">
        <f>IF('40 Year Breakdown'!O19&lt;&gt;0,'40 Year Breakdown'!O19,"")</f>
      </c>
      <c r="P29" s="502">
        <f>IF('40 Year Breakdown'!P19&lt;&gt;0,'40 Year Breakdown'!P19,"")</f>
      </c>
      <c r="Q29" s="502">
        <f>IF('40 Year Breakdown'!Q19&lt;&gt;0,'40 Year Breakdown'!Q19,"")</f>
      </c>
      <c r="R29" s="502">
        <f>IF('40 Year Breakdown'!R19&lt;&gt;0,'40 Year Breakdown'!R19,"")</f>
      </c>
      <c r="S29" s="502">
        <f>IF('40 Year Breakdown'!S19&lt;&gt;0,'40 Year Breakdown'!S19,"")</f>
      </c>
      <c r="T29" s="502">
        <f>IF('40 Year Breakdown'!T19&lt;&gt;0,'40 Year Breakdown'!T19,"")</f>
      </c>
      <c r="U29" s="502">
        <f>IF('40 Year Breakdown'!U19&lt;&gt;0,'40 Year Breakdown'!U19,"")</f>
      </c>
      <c r="V29" s="503">
        <f>IF('40 Year Breakdown'!V19&lt;&gt;0,'40 Year Breakdown'!V19,"")</f>
      </c>
      <c r="W29" s="502">
        <f>IF('40 Year Breakdown'!W19&lt;&gt;0,'40 Year Breakdown'!W19,"")</f>
      </c>
      <c r="X29" s="504"/>
      <c r="Y29" s="340" t="s">
        <v>44</v>
      </c>
      <c r="Z29" s="502">
        <f>IF('40 Year Breakdown'!X19&lt;&gt;0,'40 Year Breakdown'!X19,"")</f>
      </c>
      <c r="AA29" s="502">
        <f>IF('40 Year Breakdown'!Y19&lt;&gt;0,'40 Year Breakdown'!Y19,"")</f>
      </c>
      <c r="AB29" s="502">
        <f>IF('40 Year Breakdown'!Z19&lt;&gt;0,'40 Year Breakdown'!Z19,"")</f>
      </c>
      <c r="AC29" s="502">
        <f>IF('40 Year Breakdown'!AA19&lt;&gt;0,'40 Year Breakdown'!AA19,"")</f>
      </c>
      <c r="AD29" s="502">
        <f>IF('40 Year Breakdown'!AB19&lt;&gt;0,'40 Year Breakdown'!AB19,"")</f>
      </c>
      <c r="AE29" s="502">
        <f>IF('40 Year Breakdown'!AC19&lt;&gt;0,'40 Year Breakdown'!AC19,"")</f>
      </c>
      <c r="AF29" s="502">
        <f>IF('40 Year Breakdown'!AD19&lt;&gt;0,'40 Year Breakdown'!AD19,"")</f>
      </c>
      <c r="AG29" s="502">
        <f>IF('40 Year Breakdown'!AE19&lt;&gt;0,'40 Year Breakdown'!AE19,"")</f>
      </c>
      <c r="AH29" s="502">
        <f>IF('40 Year Breakdown'!AF19&lt;&gt;0,'40 Year Breakdown'!AF19,"")</f>
      </c>
      <c r="AI29" s="502">
        <f>IF('40 Year Breakdown'!AG19&lt;&gt;0,'40 Year Breakdown'!AG19,"")</f>
      </c>
      <c r="AJ29" s="502">
        <f>IF('40 Year Breakdown'!AH19&lt;&gt;0,'40 Year Breakdown'!AH19,"")</f>
      </c>
      <c r="AK29" s="502">
        <f>IF('40 Year Breakdown'!AI19&lt;&gt;0,'40 Year Breakdown'!AI19,"")</f>
      </c>
      <c r="AL29" s="502">
        <f>IF('40 Year Breakdown'!AJ19&lt;&gt;0,'40 Year Breakdown'!AJ19,"")</f>
      </c>
      <c r="AM29" s="502">
        <f>IF('40 Year Breakdown'!AK19&lt;&gt;0,'40 Year Breakdown'!AK19,"")</f>
      </c>
      <c r="AN29" s="502">
        <f>IF('40 Year Breakdown'!AL19&lt;&gt;0,'40 Year Breakdown'!AL19,"")</f>
      </c>
      <c r="AO29" s="502">
        <f>IF('40 Year Breakdown'!AM19&lt;&gt;0,'40 Year Breakdown'!AM19,"")</f>
      </c>
      <c r="AP29" s="502">
        <f>IF('40 Year Breakdown'!AN19&lt;&gt;0,'40 Year Breakdown'!AN19,"")</f>
      </c>
      <c r="AQ29" s="502">
        <f>IF('40 Year Breakdown'!AO19&lt;&gt;0,'40 Year Breakdown'!AO19,"")</f>
      </c>
      <c r="AR29" s="502">
        <f>IF('40 Year Breakdown'!AP19&lt;&gt;0,'40 Year Breakdown'!AP19,"")</f>
      </c>
      <c r="AS29" s="502">
        <f>IF('40 Year Breakdown'!AQ19&lt;&gt;0,'40 Year Breakdown'!AQ19,"")</f>
      </c>
      <c r="AT29" s="367">
        <f>'40 Year Breakdown'!AS19</f>
        <v>0</v>
      </c>
    </row>
    <row r="30" spans="1:46" s="273" customFormat="1" ht="9" customHeight="1">
      <c r="A30" s="284"/>
      <c r="B30" s="293"/>
      <c r="C30" s="340" t="s">
        <v>211</v>
      </c>
      <c r="D30" s="364">
        <f>'40 Year Breakdown'!D20</f>
        <v>0</v>
      </c>
      <c r="E30" s="364">
        <f>'40 Year Breakdown'!E20</f>
        <v>0</v>
      </c>
      <c r="F30" s="364">
        <f>'40 Year Breakdown'!F20</f>
        <v>0</v>
      </c>
      <c r="G30" s="364">
        <f>'40 Year Breakdown'!G20</f>
        <v>0</v>
      </c>
      <c r="H30" s="364">
        <f>'40 Year Breakdown'!H20</f>
        <v>261</v>
      </c>
      <c r="I30" s="364">
        <f>'40 Year Breakdown'!I20</f>
        <v>261</v>
      </c>
      <c r="J30" s="364">
        <f>'40 Year Breakdown'!J20</f>
        <v>261</v>
      </c>
      <c r="K30" s="364">
        <f>'40 Year Breakdown'!K20</f>
        <v>261</v>
      </c>
      <c r="L30" s="364">
        <f>'40 Year Breakdown'!L20</f>
        <v>261</v>
      </c>
      <c r="M30" s="364">
        <f>'40 Year Breakdown'!M20</f>
        <v>522</v>
      </c>
      <c r="N30" s="364">
        <f>'40 Year Breakdown'!N20</f>
        <v>522</v>
      </c>
      <c r="O30" s="364">
        <f>'40 Year Breakdown'!O20</f>
        <v>522</v>
      </c>
      <c r="P30" s="364">
        <f>'40 Year Breakdown'!P20</f>
        <v>522</v>
      </c>
      <c r="Q30" s="364">
        <f>'40 Year Breakdown'!Q20</f>
        <v>522</v>
      </c>
      <c r="R30" s="364">
        <f>'40 Year Breakdown'!R20</f>
        <v>783</v>
      </c>
      <c r="S30" s="364">
        <f>'40 Year Breakdown'!S20</f>
        <v>783</v>
      </c>
      <c r="T30" s="364">
        <f>'40 Year Breakdown'!T20</f>
        <v>783</v>
      </c>
      <c r="U30" s="364">
        <f>'40 Year Breakdown'!U20</f>
        <v>783</v>
      </c>
      <c r="V30" s="505">
        <f>'40 Year Breakdown'!V20</f>
        <v>783</v>
      </c>
      <c r="W30" s="364">
        <f>'40 Year Breakdown'!W20</f>
        <v>1044</v>
      </c>
      <c r="Y30" s="340" t="s">
        <v>211</v>
      </c>
      <c r="Z30" s="364">
        <f>'40 Year Breakdown'!X20</f>
        <v>1044</v>
      </c>
      <c r="AA30" s="364">
        <f>'40 Year Breakdown'!Y20</f>
        <v>1044</v>
      </c>
      <c r="AB30" s="364">
        <f>'40 Year Breakdown'!Z20</f>
        <v>1044</v>
      </c>
      <c r="AC30" s="364">
        <f>'40 Year Breakdown'!AA20</f>
        <v>1044</v>
      </c>
      <c r="AD30" s="364">
        <f>'40 Year Breakdown'!AB20</f>
        <v>1305</v>
      </c>
      <c r="AE30" s="364">
        <f>'40 Year Breakdown'!AC20</f>
        <v>1305</v>
      </c>
      <c r="AF30" s="364">
        <f>'40 Year Breakdown'!AD20</f>
        <v>1305</v>
      </c>
      <c r="AG30" s="364">
        <f>'40 Year Breakdown'!AE20</f>
        <v>1305</v>
      </c>
      <c r="AH30" s="364">
        <f>'40 Year Breakdown'!AF20</f>
        <v>1305</v>
      </c>
      <c r="AI30" s="364">
        <f>'40 Year Breakdown'!AG20</f>
        <v>1566</v>
      </c>
      <c r="AJ30" s="364">
        <f>'40 Year Breakdown'!AH20</f>
        <v>1566</v>
      </c>
      <c r="AK30" s="364">
        <f>'40 Year Breakdown'!AI20</f>
        <v>1566</v>
      </c>
      <c r="AL30" s="364">
        <f>'40 Year Breakdown'!AJ20</f>
        <v>1566</v>
      </c>
      <c r="AM30" s="364">
        <f>'40 Year Breakdown'!AK20</f>
        <v>1566</v>
      </c>
      <c r="AN30" s="364">
        <f>'40 Year Breakdown'!AL20</f>
        <v>1827</v>
      </c>
      <c r="AO30" s="364">
        <f>'40 Year Breakdown'!AM20</f>
        <v>1827</v>
      </c>
      <c r="AP30" s="364">
        <f>'40 Year Breakdown'!AN20</f>
        <v>1827</v>
      </c>
      <c r="AQ30" s="364">
        <f>'40 Year Breakdown'!AO20</f>
        <v>1827</v>
      </c>
      <c r="AR30" s="364">
        <f>'40 Year Breakdown'!AP20</f>
        <v>1827</v>
      </c>
      <c r="AS30" s="364">
        <f>'40 Year Breakdown'!AQ20</f>
        <v>2088</v>
      </c>
      <c r="AT30" s="367">
        <f>'40 Year Breakdown'!AS20</f>
        <v>38628</v>
      </c>
    </row>
    <row r="31" spans="1:46" s="273" customFormat="1" ht="9" customHeight="1">
      <c r="A31" s="284"/>
      <c r="B31" s="293"/>
      <c r="C31" s="340" t="s">
        <v>212</v>
      </c>
      <c r="D31" s="364">
        <f>'40 Year Breakdown'!D21</f>
        <v>0</v>
      </c>
      <c r="E31" s="364">
        <f>'40 Year Breakdown'!E21</f>
        <v>0</v>
      </c>
      <c r="F31" s="364">
        <f>'40 Year Breakdown'!F21</f>
        <v>0</v>
      </c>
      <c r="G31" s="364">
        <f>'40 Year Breakdown'!G21</f>
        <v>0</v>
      </c>
      <c r="H31" s="364">
        <f>'40 Year Breakdown'!H21</f>
        <v>0</v>
      </c>
      <c r="I31" s="364">
        <f>'40 Year Breakdown'!I21</f>
        <v>0</v>
      </c>
      <c r="J31" s="364">
        <f>'40 Year Breakdown'!J21</f>
        <v>0</v>
      </c>
      <c r="K31" s="364">
        <f>'40 Year Breakdown'!K21</f>
        <v>0</v>
      </c>
      <c r="L31" s="364">
        <f>'40 Year Breakdown'!L21</f>
        <v>0</v>
      </c>
      <c r="M31" s="364">
        <f>'40 Year Breakdown'!M21</f>
        <v>0</v>
      </c>
      <c r="N31" s="364">
        <f>'40 Year Breakdown'!N21</f>
        <v>0</v>
      </c>
      <c r="O31" s="364">
        <f>'40 Year Breakdown'!O21</f>
        <v>0</v>
      </c>
      <c r="P31" s="364">
        <f>'40 Year Breakdown'!P21</f>
        <v>0</v>
      </c>
      <c r="Q31" s="364">
        <f>'40 Year Breakdown'!Q21</f>
        <v>0</v>
      </c>
      <c r="R31" s="364">
        <f>'40 Year Breakdown'!R21</f>
        <v>0</v>
      </c>
      <c r="S31" s="364">
        <f>'40 Year Breakdown'!S21</f>
        <v>0</v>
      </c>
      <c r="T31" s="364">
        <f>'40 Year Breakdown'!T21</f>
        <v>0</v>
      </c>
      <c r="U31" s="364">
        <f>'40 Year Breakdown'!U21</f>
        <v>0</v>
      </c>
      <c r="V31" s="505">
        <f>'40 Year Breakdown'!V21</f>
        <v>0</v>
      </c>
      <c r="W31" s="364">
        <f>'40 Year Breakdown'!W21</f>
        <v>0</v>
      </c>
      <c r="Y31" s="340" t="s">
        <v>212</v>
      </c>
      <c r="Z31" s="364">
        <f>'40 Year Breakdown'!X21</f>
        <v>0</v>
      </c>
      <c r="AA31" s="364">
        <f>'40 Year Breakdown'!Y21</f>
        <v>0</v>
      </c>
      <c r="AB31" s="364">
        <f>'40 Year Breakdown'!Z21</f>
        <v>0</v>
      </c>
      <c r="AC31" s="364">
        <f>'40 Year Breakdown'!AA21</f>
        <v>0</v>
      </c>
      <c r="AD31" s="364">
        <f>'40 Year Breakdown'!AB21</f>
        <v>0</v>
      </c>
      <c r="AE31" s="364">
        <f>'40 Year Breakdown'!AC21</f>
        <v>0</v>
      </c>
      <c r="AF31" s="364">
        <f>'40 Year Breakdown'!AD21</f>
        <v>0</v>
      </c>
      <c r="AG31" s="364">
        <f>'40 Year Breakdown'!AE21</f>
        <v>0</v>
      </c>
      <c r="AH31" s="364">
        <f>'40 Year Breakdown'!AF21</f>
        <v>0</v>
      </c>
      <c r="AI31" s="364">
        <f>'40 Year Breakdown'!AG21</f>
        <v>0</v>
      </c>
      <c r="AJ31" s="364">
        <f>'40 Year Breakdown'!AH21</f>
        <v>0</v>
      </c>
      <c r="AK31" s="364">
        <f>'40 Year Breakdown'!AI21</f>
        <v>0</v>
      </c>
      <c r="AL31" s="364">
        <f>'40 Year Breakdown'!AJ21</f>
        <v>0</v>
      </c>
      <c r="AM31" s="364">
        <f>'40 Year Breakdown'!AK21</f>
        <v>0</v>
      </c>
      <c r="AN31" s="364">
        <f>'40 Year Breakdown'!AL21</f>
        <v>0</v>
      </c>
      <c r="AO31" s="364">
        <f>'40 Year Breakdown'!AM21</f>
        <v>0</v>
      </c>
      <c r="AP31" s="364">
        <f>'40 Year Breakdown'!AN21</f>
        <v>0</v>
      </c>
      <c r="AQ31" s="364">
        <f>'40 Year Breakdown'!AO21</f>
        <v>0</v>
      </c>
      <c r="AR31" s="364">
        <f>'40 Year Breakdown'!AP21</f>
        <v>0</v>
      </c>
      <c r="AS31" s="364">
        <f>'40 Year Breakdown'!AQ21</f>
        <v>0</v>
      </c>
      <c r="AT31" s="367">
        <f>'40 Year Breakdown'!AS21</f>
        <v>0</v>
      </c>
    </row>
    <row r="32" spans="1:46" s="273" customFormat="1" ht="9" customHeight="1">
      <c r="A32" s="284"/>
      <c r="C32" s="506" t="s">
        <v>272</v>
      </c>
      <c r="D32" s="507">
        <f>'40 Year Breakdown'!D23</f>
        <v>101000</v>
      </c>
      <c r="E32" s="507">
        <f>'40 Year Breakdown'!E23</f>
        <v>0</v>
      </c>
      <c r="F32" s="507">
        <f>'40 Year Breakdown'!F23</f>
        <v>0</v>
      </c>
      <c r="G32" s="507">
        <f>'40 Year Breakdown'!G23</f>
        <v>0</v>
      </c>
      <c r="H32" s="507">
        <f>'40 Year Breakdown'!H23</f>
        <v>261</v>
      </c>
      <c r="I32" s="507">
        <f>'40 Year Breakdown'!I23</f>
        <v>261</v>
      </c>
      <c r="J32" s="507">
        <f>'40 Year Breakdown'!J23</f>
        <v>261</v>
      </c>
      <c r="K32" s="507">
        <f>'40 Year Breakdown'!K23</f>
        <v>261</v>
      </c>
      <c r="L32" s="507">
        <f>'40 Year Breakdown'!L23</f>
        <v>261</v>
      </c>
      <c r="M32" s="507">
        <f>'40 Year Breakdown'!M23</f>
        <v>522</v>
      </c>
      <c r="N32" s="507">
        <f>'40 Year Breakdown'!N23</f>
        <v>522</v>
      </c>
      <c r="O32" s="507">
        <f>'40 Year Breakdown'!O23</f>
        <v>522</v>
      </c>
      <c r="P32" s="507">
        <f>'40 Year Breakdown'!P23</f>
        <v>522</v>
      </c>
      <c r="Q32" s="507">
        <f>'40 Year Breakdown'!Q23</f>
        <v>522</v>
      </c>
      <c r="R32" s="507">
        <f>'40 Year Breakdown'!R23</f>
        <v>783</v>
      </c>
      <c r="S32" s="507">
        <f>'40 Year Breakdown'!S23</f>
        <v>783</v>
      </c>
      <c r="T32" s="507">
        <f>'40 Year Breakdown'!T23</f>
        <v>783</v>
      </c>
      <c r="U32" s="507">
        <f>'40 Year Breakdown'!U23</f>
        <v>783</v>
      </c>
      <c r="V32" s="507">
        <f>'40 Year Breakdown'!V23</f>
        <v>783</v>
      </c>
      <c r="W32" s="508">
        <f>'40 Year Breakdown'!W23</f>
        <v>1044</v>
      </c>
      <c r="X32" s="269"/>
      <c r="Y32" s="506" t="s">
        <v>272</v>
      </c>
      <c r="Z32" s="507">
        <f>'40 Year Breakdown'!X23</f>
        <v>1044</v>
      </c>
      <c r="AA32" s="507">
        <f>'40 Year Breakdown'!Y23</f>
        <v>1044</v>
      </c>
      <c r="AB32" s="507">
        <f>'40 Year Breakdown'!Z23</f>
        <v>1044</v>
      </c>
      <c r="AC32" s="507">
        <f>'40 Year Breakdown'!AA23</f>
        <v>1044</v>
      </c>
      <c r="AD32" s="507">
        <f>'40 Year Breakdown'!AB23</f>
        <v>1305</v>
      </c>
      <c r="AE32" s="507">
        <f>'40 Year Breakdown'!AC23</f>
        <v>1305</v>
      </c>
      <c r="AF32" s="507">
        <f>'40 Year Breakdown'!AD23</f>
        <v>1305</v>
      </c>
      <c r="AG32" s="507">
        <f>'40 Year Breakdown'!AE23</f>
        <v>1305</v>
      </c>
      <c r="AH32" s="507">
        <f>'40 Year Breakdown'!AF23</f>
        <v>1305</v>
      </c>
      <c r="AI32" s="507">
        <f>'40 Year Breakdown'!AG23</f>
        <v>1566</v>
      </c>
      <c r="AJ32" s="507">
        <f>'40 Year Breakdown'!AH23</f>
        <v>1566</v>
      </c>
      <c r="AK32" s="507">
        <f>'40 Year Breakdown'!AI23</f>
        <v>1566</v>
      </c>
      <c r="AL32" s="507">
        <f>'40 Year Breakdown'!AJ23</f>
        <v>1566</v>
      </c>
      <c r="AM32" s="507">
        <f>'40 Year Breakdown'!AK23</f>
        <v>1566</v>
      </c>
      <c r="AN32" s="507">
        <f>'40 Year Breakdown'!AL23</f>
        <v>1827</v>
      </c>
      <c r="AO32" s="507">
        <f>'40 Year Breakdown'!AM23</f>
        <v>1827</v>
      </c>
      <c r="AP32" s="507">
        <f>'40 Year Breakdown'!AN23</f>
        <v>1827</v>
      </c>
      <c r="AQ32" s="507">
        <f>'40 Year Breakdown'!AO23</f>
        <v>1827</v>
      </c>
      <c r="AR32" s="507">
        <f>'40 Year Breakdown'!AP23</f>
        <v>1827</v>
      </c>
      <c r="AS32" s="507">
        <f>SUM(AS27:AS31)</f>
        <v>2088</v>
      </c>
      <c r="AT32" s="507">
        <f>'40 Year Breakdown'!AS23</f>
        <v>39628</v>
      </c>
    </row>
    <row r="33" spans="1:46" s="273" customFormat="1" ht="6" customHeight="1">
      <c r="A33" s="284"/>
      <c r="B33" s="284"/>
      <c r="C33" s="509"/>
      <c r="D33" s="368"/>
      <c r="E33" s="368"/>
      <c r="F33" s="368"/>
      <c r="G33" s="368"/>
      <c r="H33" s="368"/>
      <c r="I33" s="368"/>
      <c r="J33" s="368"/>
      <c r="K33" s="368"/>
      <c r="L33" s="368"/>
      <c r="M33" s="368"/>
      <c r="N33" s="368"/>
      <c r="O33" s="368"/>
      <c r="P33" s="368"/>
      <c r="Q33" s="368"/>
      <c r="R33" s="368"/>
      <c r="S33" s="368"/>
      <c r="T33" s="368"/>
      <c r="U33" s="368"/>
      <c r="V33" s="368"/>
      <c r="W33" s="368"/>
      <c r="X33" s="500"/>
      <c r="Y33" s="509"/>
      <c r="Z33" s="368"/>
      <c r="AA33" s="368"/>
      <c r="AB33" s="368"/>
      <c r="AC33" s="368"/>
      <c r="AD33" s="368"/>
      <c r="AE33" s="368"/>
      <c r="AF33" s="368"/>
      <c r="AG33" s="368"/>
      <c r="AH33" s="368"/>
      <c r="AI33" s="368"/>
      <c r="AJ33" s="368"/>
      <c r="AK33" s="368"/>
      <c r="AL33" s="368"/>
      <c r="AM33" s="368"/>
      <c r="AN33" s="368"/>
      <c r="AO33" s="368"/>
      <c r="AP33" s="368"/>
      <c r="AQ33" s="368"/>
      <c r="AR33" s="368"/>
      <c r="AS33" s="368"/>
      <c r="AT33" s="368"/>
    </row>
    <row r="34" spans="1:46" s="497" customFormat="1" ht="9" customHeight="1">
      <c r="A34" s="496"/>
      <c r="B34" s="496"/>
      <c r="C34" s="496" t="s">
        <v>98</v>
      </c>
      <c r="D34" s="300">
        <v>1</v>
      </c>
      <c r="E34" s="300">
        <v>2</v>
      </c>
      <c r="F34" s="300">
        <v>3</v>
      </c>
      <c r="G34" s="300">
        <v>4</v>
      </c>
      <c r="H34" s="300">
        <v>5</v>
      </c>
      <c r="I34" s="300">
        <v>6</v>
      </c>
      <c r="J34" s="300">
        <v>7</v>
      </c>
      <c r="K34" s="300">
        <v>8</v>
      </c>
      <c r="L34" s="300">
        <v>9</v>
      </c>
      <c r="M34" s="300">
        <v>10</v>
      </c>
      <c r="N34" s="300">
        <v>11</v>
      </c>
      <c r="O34" s="300">
        <v>12</v>
      </c>
      <c r="P34" s="300">
        <v>13</v>
      </c>
      <c r="Q34" s="300">
        <v>14</v>
      </c>
      <c r="R34" s="300">
        <v>15</v>
      </c>
      <c r="S34" s="300">
        <v>16</v>
      </c>
      <c r="T34" s="300">
        <v>17</v>
      </c>
      <c r="U34" s="300">
        <v>18</v>
      </c>
      <c r="V34" s="300">
        <v>19</v>
      </c>
      <c r="W34" s="300">
        <v>20</v>
      </c>
      <c r="X34" s="269"/>
      <c r="Y34" s="496" t="s">
        <v>98</v>
      </c>
      <c r="Z34" s="300">
        <v>21</v>
      </c>
      <c r="AA34" s="300">
        <v>22</v>
      </c>
      <c r="AB34" s="300">
        <v>23</v>
      </c>
      <c r="AC34" s="300">
        <v>24</v>
      </c>
      <c r="AD34" s="300">
        <v>25</v>
      </c>
      <c r="AE34" s="300">
        <v>26</v>
      </c>
      <c r="AF34" s="300">
        <v>27</v>
      </c>
      <c r="AG34" s="300">
        <v>28</v>
      </c>
      <c r="AH34" s="300">
        <v>29</v>
      </c>
      <c r="AI34" s="300">
        <v>30</v>
      </c>
      <c r="AJ34" s="300">
        <f aca="true" t="shared" si="1" ref="AJ34:AS34">AI34+1</f>
        <v>31</v>
      </c>
      <c r="AK34" s="300">
        <f t="shared" si="1"/>
        <v>32</v>
      </c>
      <c r="AL34" s="300">
        <f t="shared" si="1"/>
        <v>33</v>
      </c>
      <c r="AM34" s="300">
        <f t="shared" si="1"/>
        <v>34</v>
      </c>
      <c r="AN34" s="300">
        <f t="shared" si="1"/>
        <v>35</v>
      </c>
      <c r="AO34" s="300">
        <f t="shared" si="1"/>
        <v>36</v>
      </c>
      <c r="AP34" s="300">
        <f t="shared" si="1"/>
        <v>37</v>
      </c>
      <c r="AQ34" s="300">
        <f t="shared" si="1"/>
        <v>38</v>
      </c>
      <c r="AR34" s="300">
        <f t="shared" si="1"/>
        <v>39</v>
      </c>
      <c r="AS34" s="300">
        <f t="shared" si="1"/>
        <v>40</v>
      </c>
      <c r="AT34" s="300"/>
    </row>
    <row r="35" spans="1:46" s="273" customFormat="1" ht="6" customHeight="1">
      <c r="A35" s="313"/>
      <c r="B35" s="510"/>
      <c r="C35" s="313"/>
      <c r="D35" s="382"/>
      <c r="E35" s="382"/>
      <c r="F35" s="382"/>
      <c r="G35" s="382"/>
      <c r="H35" s="382"/>
      <c r="I35" s="382"/>
      <c r="J35" s="382"/>
      <c r="K35" s="382"/>
      <c r="L35" s="382"/>
      <c r="M35" s="382"/>
      <c r="N35" s="382"/>
      <c r="O35" s="382"/>
      <c r="P35" s="382"/>
      <c r="Q35" s="382"/>
      <c r="R35" s="382"/>
      <c r="S35" s="382"/>
      <c r="T35" s="382"/>
      <c r="U35" s="382"/>
      <c r="V35" s="382"/>
      <c r="W35" s="382"/>
      <c r="X35" s="500"/>
      <c r="Y35" s="313"/>
      <c r="Z35" s="382"/>
      <c r="AA35" s="382"/>
      <c r="AB35" s="382"/>
      <c r="AC35" s="382"/>
      <c r="AD35" s="382"/>
      <c r="AE35" s="382"/>
      <c r="AF35" s="382"/>
      <c r="AG35" s="382"/>
      <c r="AH35" s="382"/>
      <c r="AI35" s="382"/>
      <c r="AJ35" s="382"/>
      <c r="AK35" s="382"/>
      <c r="AL35" s="382"/>
      <c r="AM35" s="382"/>
      <c r="AN35" s="382"/>
      <c r="AO35" s="382"/>
      <c r="AP35" s="382"/>
      <c r="AQ35" s="382"/>
      <c r="AR35" s="382"/>
      <c r="AS35" s="382"/>
      <c r="AT35" s="382"/>
    </row>
    <row r="36" spans="1:46" s="273" customFormat="1" ht="9" customHeight="1">
      <c r="A36" s="313"/>
      <c r="B36" s="499" t="s">
        <v>182</v>
      </c>
      <c r="C36" s="364" t="s">
        <v>214</v>
      </c>
      <c r="D36" s="367">
        <f>'Inc &amp; Exp'!G79</f>
        <v>0</v>
      </c>
      <c r="E36" s="501" t="s">
        <v>210</v>
      </c>
      <c r="F36" s="501" t="s">
        <v>210</v>
      </c>
      <c r="G36" s="501" t="s">
        <v>210</v>
      </c>
      <c r="H36" s="501" t="s">
        <v>210</v>
      </c>
      <c r="I36" s="501" t="s">
        <v>210</v>
      </c>
      <c r="J36" s="501" t="s">
        <v>210</v>
      </c>
      <c r="K36" s="501" t="s">
        <v>210</v>
      </c>
      <c r="L36" s="501" t="s">
        <v>210</v>
      </c>
      <c r="M36" s="501" t="s">
        <v>210</v>
      </c>
      <c r="N36" s="501" t="s">
        <v>210</v>
      </c>
      <c r="O36" s="501" t="s">
        <v>210</v>
      </c>
      <c r="P36" s="501" t="s">
        <v>210</v>
      </c>
      <c r="Q36" s="501" t="s">
        <v>210</v>
      </c>
      <c r="R36" s="501" t="s">
        <v>210</v>
      </c>
      <c r="S36" s="501" t="s">
        <v>210</v>
      </c>
      <c r="T36" s="501" t="s">
        <v>210</v>
      </c>
      <c r="U36" s="501" t="s">
        <v>210</v>
      </c>
      <c r="V36" s="511" t="s">
        <v>210</v>
      </c>
      <c r="W36" s="501" t="s">
        <v>210</v>
      </c>
      <c r="X36" s="512"/>
      <c r="Y36" s="364" t="s">
        <v>214</v>
      </c>
      <c r="Z36" s="501" t="s">
        <v>210</v>
      </c>
      <c r="AA36" s="501" t="s">
        <v>210</v>
      </c>
      <c r="AB36" s="501" t="s">
        <v>210</v>
      </c>
      <c r="AC36" s="501" t="s">
        <v>210</v>
      </c>
      <c r="AD36" s="501" t="s">
        <v>210</v>
      </c>
      <c r="AE36" s="501" t="s">
        <v>210</v>
      </c>
      <c r="AF36" s="501" t="s">
        <v>210</v>
      </c>
      <c r="AG36" s="501" t="s">
        <v>210</v>
      </c>
      <c r="AH36" s="501" t="s">
        <v>210</v>
      </c>
      <c r="AI36" s="501" t="s">
        <v>210</v>
      </c>
      <c r="AJ36" s="501" t="s">
        <v>210</v>
      </c>
      <c r="AK36" s="501" t="s">
        <v>210</v>
      </c>
      <c r="AL36" s="501" t="s">
        <v>210</v>
      </c>
      <c r="AM36" s="501" t="s">
        <v>210</v>
      </c>
      <c r="AN36" s="501" t="s">
        <v>210</v>
      </c>
      <c r="AO36" s="501" t="s">
        <v>210</v>
      </c>
      <c r="AP36" s="501" t="s">
        <v>210</v>
      </c>
      <c r="AQ36" s="501" t="s">
        <v>210</v>
      </c>
      <c r="AR36" s="501" t="s">
        <v>210</v>
      </c>
      <c r="AS36" s="501" t="s">
        <v>210</v>
      </c>
      <c r="AT36" s="367">
        <f>'40 Year Breakdown'!AS26</f>
        <v>0</v>
      </c>
    </row>
    <row r="37" spans="1:46" s="273" customFormat="1" ht="9" customHeight="1">
      <c r="A37" s="313"/>
      <c r="B37" s="293"/>
      <c r="C37" s="364" t="s">
        <v>215</v>
      </c>
      <c r="D37" s="513" t="s">
        <v>210</v>
      </c>
      <c r="E37" s="514">
        <f>IF('40 Year Breakdown'!E27&lt;&gt;0,'40 Year Breakdown'!E27,"")</f>
      </c>
      <c r="F37" s="514">
        <f>IF('40 Year Breakdown'!F27&lt;&gt;0,'40 Year Breakdown'!F27,"")</f>
      </c>
      <c r="G37" s="514">
        <f>IF('40 Year Breakdown'!G27&lt;&gt;0,'40 Year Breakdown'!G27,"")</f>
      </c>
      <c r="H37" s="514">
        <f>IF('40 Year Breakdown'!H27&lt;&gt;0,'40 Year Breakdown'!H27,"")</f>
      </c>
      <c r="I37" s="514">
        <f>IF('40 Year Breakdown'!I27&lt;&gt;0,'40 Year Breakdown'!I27,"")</f>
      </c>
      <c r="J37" s="514">
        <f>IF('40 Year Breakdown'!J27&lt;&gt;0,'40 Year Breakdown'!J27,"")</f>
      </c>
      <c r="K37" s="514">
        <f>IF('40 Year Breakdown'!K27&lt;&gt;0,'40 Year Breakdown'!K27,"")</f>
      </c>
      <c r="L37" s="514">
        <f>IF('40 Year Breakdown'!L27&lt;&gt;0,'40 Year Breakdown'!L27,"")</f>
      </c>
      <c r="M37" s="514">
        <f>IF('40 Year Breakdown'!M27&lt;&gt;0,'40 Year Breakdown'!M27,"")</f>
        <v>10000</v>
      </c>
      <c r="N37" s="514">
        <f>IF('40 Year Breakdown'!N27&lt;&gt;0,'40 Year Breakdown'!N27,"")</f>
      </c>
      <c r="O37" s="514">
        <f>IF('40 Year Breakdown'!O27&lt;&gt;0,'40 Year Breakdown'!O27,"")</f>
      </c>
      <c r="P37" s="514">
        <f>IF('40 Year Breakdown'!P27&lt;&gt;0,'40 Year Breakdown'!P27,"")</f>
      </c>
      <c r="Q37" s="514">
        <f>IF('40 Year Breakdown'!Q27&lt;&gt;0,'40 Year Breakdown'!Q27,"")</f>
      </c>
      <c r="R37" s="514">
        <f>IF('40 Year Breakdown'!R27&lt;&gt;0,'40 Year Breakdown'!R27,"")</f>
      </c>
      <c r="S37" s="514">
        <f>IF('40 Year Breakdown'!S27&lt;&gt;0,'40 Year Breakdown'!S27,"")</f>
      </c>
      <c r="T37" s="514">
        <f>IF('40 Year Breakdown'!T27&lt;&gt;0,'40 Year Breakdown'!T27,"")</f>
      </c>
      <c r="U37" s="514">
        <f>IF('40 Year Breakdown'!U27&lt;&gt;0,'40 Year Breakdown'!U27,"")</f>
      </c>
      <c r="V37" s="515">
        <f>IF('40 Year Breakdown'!V27&lt;&gt;0,'40 Year Breakdown'!V27,"")</f>
      </c>
      <c r="W37" s="502">
        <f>IF('40 Year Breakdown'!W27&lt;&gt;0,'40 Year Breakdown'!W27,"")</f>
        <v>10000</v>
      </c>
      <c r="X37" s="504"/>
      <c r="Y37" s="364" t="s">
        <v>215</v>
      </c>
      <c r="Z37" s="514">
        <f>IF('40 Year Breakdown'!X27&lt;&gt;0,'40 Year Breakdown'!X27,"")</f>
      </c>
      <c r="AA37" s="514">
        <f>IF('40 Year Breakdown'!Y27&lt;&gt;0,'40 Year Breakdown'!Y27,"")</f>
      </c>
      <c r="AB37" s="514">
        <f>IF('40 Year Breakdown'!Z27&lt;&gt;0,'40 Year Breakdown'!Z27,"")</f>
      </c>
      <c r="AC37" s="514">
        <f>IF('40 Year Breakdown'!AA27&lt;&gt;0,'40 Year Breakdown'!AA27,"")</f>
      </c>
      <c r="AD37" s="514">
        <f>IF('40 Year Breakdown'!AB27&lt;&gt;0,'40 Year Breakdown'!AB27,"")</f>
      </c>
      <c r="AE37" s="514">
        <f>IF('40 Year Breakdown'!AC27&lt;&gt;0,'40 Year Breakdown'!AC27,"")</f>
      </c>
      <c r="AF37" s="514">
        <f>IF('40 Year Breakdown'!AD27&lt;&gt;0,'40 Year Breakdown'!AD27,"")</f>
      </c>
      <c r="AG37" s="514">
        <f>IF('40 Year Breakdown'!AE27&lt;&gt;0,'40 Year Breakdown'!AE27,"")</f>
      </c>
      <c r="AH37" s="514">
        <f>IF('40 Year Breakdown'!AF27&lt;&gt;0,'40 Year Breakdown'!AF27,"")</f>
      </c>
      <c r="AI37" s="514">
        <f>IF('40 Year Breakdown'!AG27&lt;&gt;0,'40 Year Breakdown'!AG27,"")</f>
        <v>10000</v>
      </c>
      <c r="AJ37" s="514">
        <f>IF('40 Year Breakdown'!AH27&lt;&gt;0,'40 Year Breakdown'!AH27,"")</f>
      </c>
      <c r="AK37" s="514">
        <f>IF('40 Year Breakdown'!AI27&lt;&gt;0,'40 Year Breakdown'!AI27,"")</f>
      </c>
      <c r="AL37" s="514">
        <f>IF('40 Year Breakdown'!AJ27&lt;&gt;0,'40 Year Breakdown'!AJ27,"")</f>
      </c>
      <c r="AM37" s="514">
        <f>IF('40 Year Breakdown'!AK27&lt;&gt;0,'40 Year Breakdown'!AK27,"")</f>
      </c>
      <c r="AN37" s="514">
        <f>IF('40 Year Breakdown'!AL27&lt;&gt;0,'40 Year Breakdown'!AL27,"")</f>
      </c>
      <c r="AO37" s="514">
        <f>IF('40 Year Breakdown'!AM27&lt;&gt;0,'40 Year Breakdown'!AM27,"")</f>
      </c>
      <c r="AP37" s="514">
        <f>IF('40 Year Breakdown'!AN27&lt;&gt;0,'40 Year Breakdown'!AN27,"")</f>
      </c>
      <c r="AQ37" s="514">
        <f>IF('40 Year Breakdown'!AO27&lt;&gt;0,'40 Year Breakdown'!AO27,"")</f>
      </c>
      <c r="AR37" s="514">
        <f>IF('40 Year Breakdown'!AP27&lt;&gt;0,'40 Year Breakdown'!AP27,"")</f>
      </c>
      <c r="AS37" s="514">
        <f>IF('40 Year Breakdown'!AQ27&lt;&gt;0,'40 Year Breakdown'!AQ27,"")</f>
      </c>
      <c r="AT37" s="516"/>
    </row>
    <row r="38" spans="1:46" s="273" customFormat="1" ht="9" customHeight="1">
      <c r="A38" s="313"/>
      <c r="B38" s="293"/>
      <c r="C38" s="364" t="s">
        <v>32</v>
      </c>
      <c r="D38" s="517">
        <f>'40 Year Breakdown'!D28</f>
        <v>0</v>
      </c>
      <c r="E38" s="517">
        <f>'40 Year Breakdown'!E28</f>
        <v>0</v>
      </c>
      <c r="F38" s="517">
        <f>'40 Year Breakdown'!F28</f>
        <v>0</v>
      </c>
      <c r="G38" s="517">
        <f>'40 Year Breakdown'!G28</f>
        <v>0</v>
      </c>
      <c r="H38" s="517">
        <f>'40 Year Breakdown'!H28</f>
        <v>26.1</v>
      </c>
      <c r="I38" s="517">
        <f>'40 Year Breakdown'!I28</f>
        <v>26.1</v>
      </c>
      <c r="J38" s="517">
        <f>'40 Year Breakdown'!J28</f>
        <v>26.1</v>
      </c>
      <c r="K38" s="517">
        <f>'40 Year Breakdown'!K28</f>
        <v>26.1</v>
      </c>
      <c r="L38" s="517">
        <f>'40 Year Breakdown'!L28</f>
        <v>26.1</v>
      </c>
      <c r="M38" s="517">
        <f>'40 Year Breakdown'!M28</f>
        <v>52.2</v>
      </c>
      <c r="N38" s="517">
        <f>'40 Year Breakdown'!N28</f>
        <v>52.2</v>
      </c>
      <c r="O38" s="517">
        <f>'40 Year Breakdown'!O28</f>
        <v>52.2</v>
      </c>
      <c r="P38" s="517">
        <f>'40 Year Breakdown'!P28</f>
        <v>52.2</v>
      </c>
      <c r="Q38" s="517">
        <f>'40 Year Breakdown'!Q28</f>
        <v>52.2</v>
      </c>
      <c r="R38" s="517">
        <f>'40 Year Breakdown'!R28</f>
        <v>78.30000000000001</v>
      </c>
      <c r="S38" s="517">
        <f>'40 Year Breakdown'!S28</f>
        <v>78.30000000000001</v>
      </c>
      <c r="T38" s="517">
        <f>'40 Year Breakdown'!T28</f>
        <v>78.30000000000001</v>
      </c>
      <c r="U38" s="517">
        <f>'40 Year Breakdown'!U28</f>
        <v>78.30000000000001</v>
      </c>
      <c r="V38" s="518">
        <f>'40 Year Breakdown'!V28</f>
        <v>78.30000000000001</v>
      </c>
      <c r="W38" s="367">
        <f>'40 Year Breakdown'!W28</f>
        <v>104.4</v>
      </c>
      <c r="X38" s="500"/>
      <c r="Y38" s="364" t="s">
        <v>32</v>
      </c>
      <c r="Z38" s="519">
        <f>'40 Year Breakdown'!X28</f>
        <v>104.4</v>
      </c>
      <c r="AA38" s="519">
        <f>'40 Year Breakdown'!Y28</f>
        <v>104.4</v>
      </c>
      <c r="AB38" s="519">
        <f>'40 Year Breakdown'!Z28</f>
        <v>104.4</v>
      </c>
      <c r="AC38" s="519">
        <f>'40 Year Breakdown'!AA28</f>
        <v>104.4</v>
      </c>
      <c r="AD38" s="519">
        <f>'40 Year Breakdown'!AB28</f>
        <v>130.5</v>
      </c>
      <c r="AE38" s="519">
        <f>'40 Year Breakdown'!AC28</f>
        <v>130.5</v>
      </c>
      <c r="AF38" s="519">
        <f>'40 Year Breakdown'!AD28</f>
        <v>130.5</v>
      </c>
      <c r="AG38" s="519">
        <f>'40 Year Breakdown'!AE28</f>
        <v>130.5</v>
      </c>
      <c r="AH38" s="519">
        <f>'40 Year Breakdown'!AF28</f>
        <v>130.5</v>
      </c>
      <c r="AI38" s="519">
        <f>'40 Year Breakdown'!AG28</f>
        <v>156.60000000000002</v>
      </c>
      <c r="AJ38" s="519">
        <f>'40 Year Breakdown'!AH28</f>
        <v>156.60000000000002</v>
      </c>
      <c r="AK38" s="519">
        <f>'40 Year Breakdown'!AI28</f>
        <v>156.60000000000002</v>
      </c>
      <c r="AL38" s="519">
        <f>'40 Year Breakdown'!AJ28</f>
        <v>156.60000000000002</v>
      </c>
      <c r="AM38" s="519">
        <f>'40 Year Breakdown'!AK28</f>
        <v>156.60000000000002</v>
      </c>
      <c r="AN38" s="519">
        <f>'40 Year Breakdown'!AL28</f>
        <v>182.70000000000002</v>
      </c>
      <c r="AO38" s="519">
        <f>'40 Year Breakdown'!AM28</f>
        <v>182.70000000000002</v>
      </c>
      <c r="AP38" s="519">
        <f>'40 Year Breakdown'!AN28</f>
        <v>182.70000000000002</v>
      </c>
      <c r="AQ38" s="519">
        <f>'40 Year Breakdown'!AO28</f>
        <v>182.70000000000002</v>
      </c>
      <c r="AR38" s="519">
        <f>'40 Year Breakdown'!AP28</f>
        <v>182.70000000000002</v>
      </c>
      <c r="AS38" s="519">
        <f>'40 Year Breakdown'!AQ28</f>
        <v>208.8</v>
      </c>
      <c r="AT38" s="520">
        <f>'40 Year Breakdown'!AS28</f>
        <v>3862.799999999999</v>
      </c>
    </row>
    <row r="39" spans="1:46" s="273" customFormat="1" ht="8.25" customHeight="1">
      <c r="A39" s="313"/>
      <c r="B39" s="602" t="s">
        <v>216</v>
      </c>
      <c r="C39" s="364" t="s">
        <v>187</v>
      </c>
      <c r="D39" s="517">
        <f>'40 Year Breakdown'!D29</f>
        <v>0</v>
      </c>
      <c r="E39" s="517">
        <f>'40 Year Breakdown'!E29</f>
        <v>0</v>
      </c>
      <c r="F39" s="517">
        <f>'40 Year Breakdown'!F29</f>
        <v>0</v>
      </c>
      <c r="G39" s="517">
        <f>'40 Year Breakdown'!G29</f>
        <v>0</v>
      </c>
      <c r="H39" s="517">
        <f>'40 Year Breakdown'!H29</f>
        <v>0</v>
      </c>
      <c r="I39" s="517">
        <f>'40 Year Breakdown'!I29</f>
        <v>0</v>
      </c>
      <c r="J39" s="517">
        <f>'40 Year Breakdown'!J29</f>
        <v>0</v>
      </c>
      <c r="K39" s="517">
        <f>'40 Year Breakdown'!K29</f>
        <v>0</v>
      </c>
      <c r="L39" s="517">
        <f>'40 Year Breakdown'!L29</f>
        <v>0</v>
      </c>
      <c r="M39" s="517">
        <f>'40 Year Breakdown'!M29</f>
        <v>0</v>
      </c>
      <c r="N39" s="517">
        <f>'40 Year Breakdown'!N29</f>
        <v>0</v>
      </c>
      <c r="O39" s="517">
        <f>'40 Year Breakdown'!O29</f>
        <v>0</v>
      </c>
      <c r="P39" s="517">
        <f>'40 Year Breakdown'!P29</f>
        <v>0</v>
      </c>
      <c r="Q39" s="517">
        <f>'40 Year Breakdown'!Q29</f>
        <v>0</v>
      </c>
      <c r="R39" s="517">
        <f>'40 Year Breakdown'!R29</f>
        <v>0</v>
      </c>
      <c r="S39" s="517">
        <f>'40 Year Breakdown'!S29</f>
        <v>0</v>
      </c>
      <c r="T39" s="517">
        <f>'40 Year Breakdown'!T29</f>
        <v>0</v>
      </c>
      <c r="U39" s="517">
        <f>'40 Year Breakdown'!U29</f>
        <v>0</v>
      </c>
      <c r="V39" s="518">
        <f>'40 Year Breakdown'!V29</f>
        <v>0</v>
      </c>
      <c r="W39" s="367">
        <f>'40 Year Breakdown'!W29</f>
        <v>0</v>
      </c>
      <c r="X39" s="500"/>
      <c r="Y39" s="364" t="s">
        <v>187</v>
      </c>
      <c r="Z39" s="519">
        <f>'40 Year Breakdown'!X29</f>
        <v>0</v>
      </c>
      <c r="AA39" s="519">
        <f>'40 Year Breakdown'!Y29</f>
        <v>0</v>
      </c>
      <c r="AB39" s="519">
        <f>'40 Year Breakdown'!Z29</f>
        <v>0</v>
      </c>
      <c r="AC39" s="519">
        <f>'40 Year Breakdown'!AA29</f>
        <v>0</v>
      </c>
      <c r="AD39" s="519">
        <f>'40 Year Breakdown'!AB29</f>
        <v>0</v>
      </c>
      <c r="AE39" s="519">
        <f>'40 Year Breakdown'!AC29</f>
        <v>0</v>
      </c>
      <c r="AF39" s="519">
        <f>'40 Year Breakdown'!AD29</f>
        <v>0</v>
      </c>
      <c r="AG39" s="519">
        <f>'40 Year Breakdown'!AE29</f>
        <v>0</v>
      </c>
      <c r="AH39" s="519">
        <f>'40 Year Breakdown'!AF29</f>
        <v>0</v>
      </c>
      <c r="AI39" s="519">
        <f>'40 Year Breakdown'!AG29</f>
        <v>0</v>
      </c>
      <c r="AJ39" s="519">
        <f>'40 Year Breakdown'!AH29</f>
        <v>0</v>
      </c>
      <c r="AK39" s="519">
        <f>'40 Year Breakdown'!AI29</f>
        <v>0</v>
      </c>
      <c r="AL39" s="519">
        <f>'40 Year Breakdown'!AJ29</f>
        <v>0</v>
      </c>
      <c r="AM39" s="519">
        <f>'40 Year Breakdown'!AK29</f>
        <v>0</v>
      </c>
      <c r="AN39" s="519">
        <f>'40 Year Breakdown'!AL29</f>
        <v>0</v>
      </c>
      <c r="AO39" s="519">
        <f>'40 Year Breakdown'!AM29</f>
        <v>0</v>
      </c>
      <c r="AP39" s="519">
        <f>'40 Year Breakdown'!AN29</f>
        <v>0</v>
      </c>
      <c r="AQ39" s="519">
        <f>'40 Year Breakdown'!AO29</f>
        <v>0</v>
      </c>
      <c r="AR39" s="519">
        <f>'40 Year Breakdown'!AP29</f>
        <v>0</v>
      </c>
      <c r="AS39" s="519">
        <f>'40 Year Breakdown'!AQ29</f>
        <v>0</v>
      </c>
      <c r="AT39" s="520">
        <f>'40 Year Breakdown'!AS29</f>
        <v>0</v>
      </c>
    </row>
    <row r="40" spans="1:46" s="273" customFormat="1" ht="8.25" customHeight="1">
      <c r="A40" s="313"/>
      <c r="B40" s="602"/>
      <c r="C40" s="364" t="s">
        <v>36</v>
      </c>
      <c r="D40" s="517">
        <f>'40 Year Breakdown'!D30</f>
        <v>0</v>
      </c>
      <c r="E40" s="517">
        <f>'40 Year Breakdown'!E30</f>
        <v>1236</v>
      </c>
      <c r="F40" s="517">
        <f>'40 Year Breakdown'!F30</f>
        <v>1273.08</v>
      </c>
      <c r="G40" s="517">
        <f>'40 Year Breakdown'!G30</f>
        <v>1311.2724</v>
      </c>
      <c r="H40" s="517">
        <f>'40 Year Breakdown'!H30</f>
        <v>1350.610572</v>
      </c>
      <c r="I40" s="517">
        <f>'40 Year Breakdown'!I30</f>
        <v>1391.12888916</v>
      </c>
      <c r="J40" s="517">
        <f>'40 Year Breakdown'!J30</f>
        <v>1432.8627558348</v>
      </c>
      <c r="K40" s="517">
        <f>'40 Year Breakdown'!K30</f>
        <v>1475.848638509844</v>
      </c>
      <c r="L40" s="517">
        <f>'40 Year Breakdown'!L30</f>
        <v>1520.1240976651393</v>
      </c>
      <c r="M40" s="517">
        <f>'40 Year Breakdown'!M30</f>
        <v>1565.7278205950936</v>
      </c>
      <c r="N40" s="517">
        <f>'40 Year Breakdown'!N30</f>
        <v>1612.6996552129465</v>
      </c>
      <c r="O40" s="517">
        <f>'40 Year Breakdown'!O30</f>
        <v>1661.080644869335</v>
      </c>
      <c r="P40" s="517">
        <f>'40 Year Breakdown'!P30</f>
        <v>1710.913064215415</v>
      </c>
      <c r="Q40" s="517">
        <f>'40 Year Breakdown'!Q30</f>
        <v>1762.2404561418775</v>
      </c>
      <c r="R40" s="517">
        <f>'40 Year Breakdown'!R30</f>
        <v>1815.1076698261338</v>
      </c>
      <c r="S40" s="517">
        <f>'40 Year Breakdown'!S30</f>
        <v>1869.5608999209178</v>
      </c>
      <c r="T40" s="517">
        <f>'40 Year Breakdown'!T30</f>
        <v>1925.6477269185455</v>
      </c>
      <c r="U40" s="517">
        <f>'40 Year Breakdown'!U30</f>
        <v>1983.417158726102</v>
      </c>
      <c r="V40" s="518">
        <f>'40 Year Breakdown'!V30</f>
        <v>2042.919673487885</v>
      </c>
      <c r="W40" s="367">
        <f>'40 Year Breakdown'!W30</f>
        <v>2104.2072636925213</v>
      </c>
      <c r="X40" s="500"/>
      <c r="Y40" s="364" t="s">
        <v>36</v>
      </c>
      <c r="Z40" s="519">
        <f>'40 Year Breakdown'!X30</f>
        <v>2167.333481603297</v>
      </c>
      <c r="AA40" s="519">
        <f>'40 Year Breakdown'!Y30</f>
        <v>2232.353486051396</v>
      </c>
      <c r="AB40" s="519">
        <f>'40 Year Breakdown'!Z30</f>
        <v>2299.324090632938</v>
      </c>
      <c r="AC40" s="519">
        <f>'40 Year Breakdown'!AA30</f>
        <v>2368.3038133519262</v>
      </c>
      <c r="AD40" s="519">
        <f>'40 Year Breakdown'!AB30</f>
        <v>2439.352927752484</v>
      </c>
      <c r="AE40" s="519">
        <f>'40 Year Breakdown'!AC30</f>
        <v>2512.5335155850585</v>
      </c>
      <c r="AF40" s="519">
        <f>'40 Year Breakdown'!AD30</f>
        <v>2587.90952105261</v>
      </c>
      <c r="AG40" s="519">
        <f>'40 Year Breakdown'!AE30</f>
        <v>2665.5468066841886</v>
      </c>
      <c r="AH40" s="519">
        <f>'40 Year Breakdown'!AF30</f>
        <v>2745.513210884714</v>
      </c>
      <c r="AI40" s="519">
        <f>'40 Year Breakdown'!AG30</f>
        <v>2827.8786072112557</v>
      </c>
      <c r="AJ40" s="519">
        <f>'40 Year Breakdown'!AH30</f>
        <v>2912.7149654275936</v>
      </c>
      <c r="AK40" s="519">
        <f>'40 Year Breakdown'!AI30</f>
        <v>3000.0964143904216</v>
      </c>
      <c r="AL40" s="519">
        <f>'40 Year Breakdown'!AJ30</f>
        <v>3090.099306822134</v>
      </c>
      <c r="AM40" s="519">
        <f>'40 Year Breakdown'!AK30</f>
        <v>3182.8022860267984</v>
      </c>
      <c r="AN40" s="519">
        <f>'40 Year Breakdown'!AL30</f>
        <v>3278.2863546076023</v>
      </c>
      <c r="AO40" s="519">
        <f>'40 Year Breakdown'!AM30</f>
        <v>3376.6349452458303</v>
      </c>
      <c r="AP40" s="519">
        <f>'40 Year Breakdown'!AN30</f>
        <v>3477.933993603205</v>
      </c>
      <c r="AQ40" s="519">
        <f>'40 Year Breakdown'!AO30</f>
        <v>3582.2720134113015</v>
      </c>
      <c r="AR40" s="519">
        <f>'40 Year Breakdown'!AP30</f>
        <v>3689.7401738136405</v>
      </c>
      <c r="AS40" s="519">
        <f>'40 Year Breakdown'!AQ30</f>
        <v>3800.4323790280496</v>
      </c>
      <c r="AT40" s="520">
        <f>'40 Year Breakdown'!AS30</f>
        <v>89281.51167996299</v>
      </c>
    </row>
    <row r="41" spans="1:46" s="273" customFormat="1" ht="8.25" customHeight="1">
      <c r="A41" s="313"/>
      <c r="B41" s="602"/>
      <c r="C41" s="364" t="s">
        <v>38</v>
      </c>
      <c r="D41" s="517">
        <f>'40 Year Breakdown'!D31</f>
        <v>0</v>
      </c>
      <c r="E41" s="517">
        <f>'40 Year Breakdown'!E31</f>
        <v>0</v>
      </c>
      <c r="F41" s="517">
        <f>'40 Year Breakdown'!F31</f>
        <v>0</v>
      </c>
      <c r="G41" s="517">
        <f>'40 Year Breakdown'!G31</f>
        <v>0</v>
      </c>
      <c r="H41" s="517">
        <f>'40 Year Breakdown'!H31</f>
        <v>0</v>
      </c>
      <c r="I41" s="517">
        <f>'40 Year Breakdown'!I31</f>
        <v>0</v>
      </c>
      <c r="J41" s="517">
        <f>'40 Year Breakdown'!J31</f>
        <v>0</v>
      </c>
      <c r="K41" s="517">
        <f>'40 Year Breakdown'!K31</f>
        <v>0</v>
      </c>
      <c r="L41" s="517">
        <f>'40 Year Breakdown'!L31</f>
        <v>0</v>
      </c>
      <c r="M41" s="517">
        <f>'40 Year Breakdown'!M31</f>
        <v>0</v>
      </c>
      <c r="N41" s="517">
        <f>'40 Year Breakdown'!N31</f>
        <v>0</v>
      </c>
      <c r="O41" s="517">
        <f>'40 Year Breakdown'!O31</f>
        <v>0</v>
      </c>
      <c r="P41" s="517">
        <f>'40 Year Breakdown'!P31</f>
        <v>0</v>
      </c>
      <c r="Q41" s="517">
        <f>'40 Year Breakdown'!Q31</f>
        <v>0</v>
      </c>
      <c r="R41" s="517">
        <f>'40 Year Breakdown'!R31</f>
        <v>0</v>
      </c>
      <c r="S41" s="517">
        <f>'40 Year Breakdown'!S31</f>
        <v>0</v>
      </c>
      <c r="T41" s="517">
        <f>'40 Year Breakdown'!T31</f>
        <v>0</v>
      </c>
      <c r="U41" s="517">
        <f>'40 Year Breakdown'!U31</f>
        <v>0</v>
      </c>
      <c r="V41" s="518">
        <f>'40 Year Breakdown'!V31</f>
        <v>0</v>
      </c>
      <c r="W41" s="367">
        <f>'40 Year Breakdown'!W31</f>
        <v>0</v>
      </c>
      <c r="X41" s="500"/>
      <c r="Y41" s="364" t="s">
        <v>38</v>
      </c>
      <c r="Z41" s="519">
        <f>'40 Year Breakdown'!X31</f>
        <v>0</v>
      </c>
      <c r="AA41" s="519">
        <f>'40 Year Breakdown'!Y31</f>
        <v>0</v>
      </c>
      <c r="AB41" s="519">
        <f>'40 Year Breakdown'!Z31</f>
        <v>0</v>
      </c>
      <c r="AC41" s="519">
        <f>'40 Year Breakdown'!AA31</f>
        <v>0</v>
      </c>
      <c r="AD41" s="519">
        <f>'40 Year Breakdown'!AB31</f>
        <v>0</v>
      </c>
      <c r="AE41" s="519">
        <f>'40 Year Breakdown'!AC31</f>
        <v>0</v>
      </c>
      <c r="AF41" s="519">
        <f>'40 Year Breakdown'!AD31</f>
        <v>0</v>
      </c>
      <c r="AG41" s="519">
        <f>'40 Year Breakdown'!AE31</f>
        <v>0</v>
      </c>
      <c r="AH41" s="519">
        <f>'40 Year Breakdown'!AF31</f>
        <v>0</v>
      </c>
      <c r="AI41" s="519">
        <f>'40 Year Breakdown'!AG31</f>
        <v>0</v>
      </c>
      <c r="AJ41" s="519">
        <f>'40 Year Breakdown'!AH31</f>
        <v>0</v>
      </c>
      <c r="AK41" s="519">
        <f>'40 Year Breakdown'!AI31</f>
        <v>0</v>
      </c>
      <c r="AL41" s="519">
        <f>'40 Year Breakdown'!AJ31</f>
        <v>0</v>
      </c>
      <c r="AM41" s="519">
        <f>'40 Year Breakdown'!AK31</f>
        <v>0</v>
      </c>
      <c r="AN41" s="519">
        <f>'40 Year Breakdown'!AL31</f>
        <v>0</v>
      </c>
      <c r="AO41" s="519">
        <f>'40 Year Breakdown'!AM31</f>
        <v>0</v>
      </c>
      <c r="AP41" s="519">
        <f>'40 Year Breakdown'!AN31</f>
        <v>0</v>
      </c>
      <c r="AQ41" s="519">
        <f>'40 Year Breakdown'!AO31</f>
        <v>0</v>
      </c>
      <c r="AR41" s="519">
        <f>'40 Year Breakdown'!AP31</f>
        <v>0</v>
      </c>
      <c r="AS41" s="519">
        <f>'40 Year Breakdown'!AQ31</f>
        <v>0</v>
      </c>
      <c r="AT41" s="520">
        <f>'40 Year Breakdown'!AS31</f>
        <v>0</v>
      </c>
    </row>
    <row r="42" spans="1:46" s="273" customFormat="1" ht="8.25" customHeight="1">
      <c r="A42" s="313"/>
      <c r="B42" s="602"/>
      <c r="C42" s="364" t="s">
        <v>190</v>
      </c>
      <c r="D42" s="517">
        <f>'40 Year Breakdown'!D32</f>
        <v>0</v>
      </c>
      <c r="E42" s="517">
        <f>'40 Year Breakdown'!E32</f>
        <v>0</v>
      </c>
      <c r="F42" s="517">
        <f>'40 Year Breakdown'!F32</f>
        <v>0</v>
      </c>
      <c r="G42" s="517">
        <f>'40 Year Breakdown'!G32</f>
        <v>0</v>
      </c>
      <c r="H42" s="517">
        <f>'40 Year Breakdown'!H32</f>
        <v>0</v>
      </c>
      <c r="I42" s="517">
        <f>'40 Year Breakdown'!I32</f>
        <v>0</v>
      </c>
      <c r="J42" s="517">
        <f>'40 Year Breakdown'!J32</f>
        <v>0</v>
      </c>
      <c r="K42" s="517">
        <f>'40 Year Breakdown'!K32</f>
        <v>0</v>
      </c>
      <c r="L42" s="517">
        <f>'40 Year Breakdown'!L32</f>
        <v>0</v>
      </c>
      <c r="M42" s="517">
        <f>'40 Year Breakdown'!M32</f>
        <v>0</v>
      </c>
      <c r="N42" s="517">
        <f>'40 Year Breakdown'!N32</f>
        <v>0</v>
      </c>
      <c r="O42" s="517">
        <f>'40 Year Breakdown'!O32</f>
        <v>0</v>
      </c>
      <c r="P42" s="517">
        <f>'40 Year Breakdown'!P32</f>
        <v>0</v>
      </c>
      <c r="Q42" s="517">
        <f>'40 Year Breakdown'!Q32</f>
        <v>0</v>
      </c>
      <c r="R42" s="517">
        <f>'40 Year Breakdown'!R32</f>
        <v>0</v>
      </c>
      <c r="S42" s="517">
        <f>'40 Year Breakdown'!S32</f>
        <v>0</v>
      </c>
      <c r="T42" s="517">
        <f>'40 Year Breakdown'!T32</f>
        <v>0</v>
      </c>
      <c r="U42" s="517">
        <f>'40 Year Breakdown'!U32</f>
        <v>0</v>
      </c>
      <c r="V42" s="518">
        <f>'40 Year Breakdown'!V32</f>
        <v>0</v>
      </c>
      <c r="W42" s="367">
        <f>'40 Year Breakdown'!W32</f>
        <v>0</v>
      </c>
      <c r="X42" s="500"/>
      <c r="Y42" s="364" t="s">
        <v>190</v>
      </c>
      <c r="Z42" s="519">
        <f>'40 Year Breakdown'!X32</f>
        <v>0</v>
      </c>
      <c r="AA42" s="519">
        <f>'40 Year Breakdown'!Y32</f>
        <v>0</v>
      </c>
      <c r="AB42" s="519">
        <f>'40 Year Breakdown'!Z32</f>
        <v>0</v>
      </c>
      <c r="AC42" s="519">
        <f>'40 Year Breakdown'!AA32</f>
        <v>0</v>
      </c>
      <c r="AD42" s="519">
        <f>'40 Year Breakdown'!AB32</f>
        <v>0</v>
      </c>
      <c r="AE42" s="519">
        <f>'40 Year Breakdown'!AC32</f>
        <v>0</v>
      </c>
      <c r="AF42" s="519">
        <f>'40 Year Breakdown'!AD32</f>
        <v>0</v>
      </c>
      <c r="AG42" s="519">
        <f>'40 Year Breakdown'!AE32</f>
        <v>0</v>
      </c>
      <c r="AH42" s="519">
        <f>'40 Year Breakdown'!AF32</f>
        <v>0</v>
      </c>
      <c r="AI42" s="519">
        <f>'40 Year Breakdown'!AG32</f>
        <v>0</v>
      </c>
      <c r="AJ42" s="519">
        <f>'40 Year Breakdown'!AH32</f>
        <v>0</v>
      </c>
      <c r="AK42" s="519">
        <f>'40 Year Breakdown'!AI32</f>
        <v>0</v>
      </c>
      <c r="AL42" s="519">
        <f>'40 Year Breakdown'!AJ32</f>
        <v>0</v>
      </c>
      <c r="AM42" s="519">
        <f>'40 Year Breakdown'!AK32</f>
        <v>0</v>
      </c>
      <c r="AN42" s="519">
        <f>'40 Year Breakdown'!AL32</f>
        <v>0</v>
      </c>
      <c r="AO42" s="519">
        <f>'40 Year Breakdown'!AM32</f>
        <v>0</v>
      </c>
      <c r="AP42" s="519">
        <f>'40 Year Breakdown'!AN32</f>
        <v>0</v>
      </c>
      <c r="AQ42" s="519">
        <f>'40 Year Breakdown'!AO32</f>
        <v>0</v>
      </c>
      <c r="AR42" s="519">
        <f>'40 Year Breakdown'!AP32</f>
        <v>0</v>
      </c>
      <c r="AS42" s="519">
        <f>'40 Year Breakdown'!AQ32</f>
        <v>0</v>
      </c>
      <c r="AT42" s="520">
        <f>'40 Year Breakdown'!AS32</f>
        <v>0</v>
      </c>
    </row>
    <row r="43" spans="1:46" s="273" customFormat="1" ht="8.25" customHeight="1">
      <c r="A43" s="313"/>
      <c r="B43" s="602"/>
      <c r="C43" s="364" t="s">
        <v>262</v>
      </c>
      <c r="D43" s="517">
        <f>'40 Year Breakdown'!D33</f>
        <v>0</v>
      </c>
      <c r="E43" s="517">
        <f>'40 Year Breakdown'!E33</f>
        <v>0</v>
      </c>
      <c r="F43" s="517">
        <f>'40 Year Breakdown'!F33</f>
        <v>0</v>
      </c>
      <c r="G43" s="517">
        <f>'40 Year Breakdown'!G33</f>
        <v>0</v>
      </c>
      <c r="H43" s="517">
        <f>'40 Year Breakdown'!H33</f>
        <v>0</v>
      </c>
      <c r="I43" s="517">
        <f>'40 Year Breakdown'!I33</f>
        <v>0</v>
      </c>
      <c r="J43" s="517">
        <f>'40 Year Breakdown'!J33</f>
        <v>0</v>
      </c>
      <c r="K43" s="517">
        <f>'40 Year Breakdown'!K33</f>
        <v>0</v>
      </c>
      <c r="L43" s="517">
        <f>'40 Year Breakdown'!L33</f>
        <v>0</v>
      </c>
      <c r="M43" s="517">
        <f>'40 Year Breakdown'!M33</f>
        <v>0</v>
      </c>
      <c r="N43" s="517">
        <f>'40 Year Breakdown'!N33</f>
        <v>0</v>
      </c>
      <c r="O43" s="517">
        <f>'40 Year Breakdown'!O33</f>
        <v>0</v>
      </c>
      <c r="P43" s="517">
        <f>'40 Year Breakdown'!P33</f>
        <v>0</v>
      </c>
      <c r="Q43" s="517">
        <f>'40 Year Breakdown'!Q33</f>
        <v>0</v>
      </c>
      <c r="R43" s="517">
        <f>'40 Year Breakdown'!R33</f>
        <v>0</v>
      </c>
      <c r="S43" s="517">
        <f>'40 Year Breakdown'!S33</f>
        <v>0</v>
      </c>
      <c r="T43" s="517">
        <f>'40 Year Breakdown'!T33</f>
        <v>0</v>
      </c>
      <c r="U43" s="517">
        <f>'40 Year Breakdown'!U33</f>
        <v>0</v>
      </c>
      <c r="V43" s="518">
        <f>'40 Year Breakdown'!V33</f>
        <v>0</v>
      </c>
      <c r="W43" s="521">
        <f>'40 Year Breakdown'!W33</f>
        <v>0</v>
      </c>
      <c r="X43" s="500"/>
      <c r="Y43" s="364" t="s">
        <v>262</v>
      </c>
      <c r="Z43" s="519">
        <f>'40 Year Breakdown'!X33</f>
        <v>0</v>
      </c>
      <c r="AA43" s="519">
        <f>'40 Year Breakdown'!Y33</f>
        <v>0</v>
      </c>
      <c r="AB43" s="519">
        <f>'40 Year Breakdown'!Z33</f>
        <v>0</v>
      </c>
      <c r="AC43" s="519">
        <f>'40 Year Breakdown'!AA33</f>
        <v>0</v>
      </c>
      <c r="AD43" s="519">
        <f>'40 Year Breakdown'!AB33</f>
        <v>0</v>
      </c>
      <c r="AE43" s="519">
        <f>'40 Year Breakdown'!AC33</f>
        <v>0</v>
      </c>
      <c r="AF43" s="519">
        <f>'40 Year Breakdown'!AD33</f>
        <v>0</v>
      </c>
      <c r="AG43" s="519">
        <f>'40 Year Breakdown'!AE33</f>
        <v>0</v>
      </c>
      <c r="AH43" s="519">
        <f>'40 Year Breakdown'!AF33</f>
        <v>0</v>
      </c>
      <c r="AI43" s="519">
        <f>'40 Year Breakdown'!AG33</f>
        <v>0</v>
      </c>
      <c r="AJ43" s="519">
        <f>'40 Year Breakdown'!AH33</f>
        <v>0</v>
      </c>
      <c r="AK43" s="519">
        <f>'40 Year Breakdown'!AI33</f>
        <v>0</v>
      </c>
      <c r="AL43" s="519">
        <f>'40 Year Breakdown'!AJ33</f>
        <v>0</v>
      </c>
      <c r="AM43" s="519">
        <f>'40 Year Breakdown'!AK33</f>
        <v>0</v>
      </c>
      <c r="AN43" s="519">
        <f>'40 Year Breakdown'!AL33</f>
        <v>0</v>
      </c>
      <c r="AO43" s="519">
        <f>'40 Year Breakdown'!AM33</f>
        <v>0</v>
      </c>
      <c r="AP43" s="519">
        <f>'40 Year Breakdown'!AN33</f>
        <v>0</v>
      </c>
      <c r="AQ43" s="519">
        <f>'40 Year Breakdown'!AO33</f>
        <v>0</v>
      </c>
      <c r="AR43" s="519">
        <f>'40 Year Breakdown'!AP33</f>
        <v>0</v>
      </c>
      <c r="AS43" s="519">
        <f>'40 Year Breakdown'!AQ33</f>
        <v>0</v>
      </c>
      <c r="AT43" s="520">
        <f>'40 Year Breakdown'!AS33</f>
        <v>0</v>
      </c>
    </row>
    <row r="44" spans="1:46" s="273" customFormat="1" ht="8.25" customHeight="1">
      <c r="A44" s="313"/>
      <c r="B44" s="602"/>
      <c r="C44" s="364" t="s">
        <v>217</v>
      </c>
      <c r="D44" s="367">
        <f>'40 Year Breakdown'!D34</f>
        <v>0</v>
      </c>
      <c r="E44" s="367">
        <f>'40 Year Breakdown'!E34</f>
        <v>0</v>
      </c>
      <c r="F44" s="367">
        <f>'40 Year Breakdown'!F34</f>
        <v>0</v>
      </c>
      <c r="G44" s="367">
        <f>'40 Year Breakdown'!G34</f>
        <v>0</v>
      </c>
      <c r="H44" s="367">
        <f>'40 Year Breakdown'!H34</f>
        <v>0</v>
      </c>
      <c r="I44" s="367">
        <f>'40 Year Breakdown'!I34</f>
        <v>0</v>
      </c>
      <c r="J44" s="367">
        <f>'40 Year Breakdown'!J34</f>
        <v>0</v>
      </c>
      <c r="K44" s="367">
        <f>'40 Year Breakdown'!K34</f>
        <v>0</v>
      </c>
      <c r="L44" s="367">
        <f>'40 Year Breakdown'!L34</f>
        <v>0</v>
      </c>
      <c r="M44" s="367">
        <f>'40 Year Breakdown'!M34</f>
        <v>0</v>
      </c>
      <c r="N44" s="367">
        <f>'40 Year Breakdown'!N34</f>
        <v>0</v>
      </c>
      <c r="O44" s="367">
        <f>'40 Year Breakdown'!O34</f>
        <v>0</v>
      </c>
      <c r="P44" s="367">
        <f>'40 Year Breakdown'!P34</f>
        <v>0</v>
      </c>
      <c r="Q44" s="367">
        <f>'40 Year Breakdown'!Q34</f>
        <v>0</v>
      </c>
      <c r="R44" s="367">
        <f>'40 Year Breakdown'!R34</f>
        <v>0</v>
      </c>
      <c r="S44" s="367">
        <f>'40 Year Breakdown'!S34</f>
        <v>0</v>
      </c>
      <c r="T44" s="367">
        <f>'40 Year Breakdown'!T34</f>
        <v>0</v>
      </c>
      <c r="U44" s="367">
        <f>'40 Year Breakdown'!U34</f>
        <v>0</v>
      </c>
      <c r="V44" s="367">
        <f>'40 Year Breakdown'!V34</f>
        <v>0</v>
      </c>
      <c r="W44" s="367">
        <f>'40 Year Breakdown'!W34</f>
        <v>0</v>
      </c>
      <c r="X44" s="500"/>
      <c r="Y44" s="364" t="s">
        <v>217</v>
      </c>
      <c r="Z44" s="519">
        <f>'40 Year Breakdown'!X34</f>
        <v>0</v>
      </c>
      <c r="AA44" s="519">
        <f>'40 Year Breakdown'!Y34</f>
        <v>0</v>
      </c>
      <c r="AB44" s="519">
        <f>'40 Year Breakdown'!Z34</f>
        <v>0</v>
      </c>
      <c r="AC44" s="519">
        <f>'40 Year Breakdown'!AA34</f>
        <v>0</v>
      </c>
      <c r="AD44" s="519">
        <f>'40 Year Breakdown'!AB34</f>
        <v>0</v>
      </c>
      <c r="AE44" s="519">
        <f>'40 Year Breakdown'!AC34</f>
        <v>0</v>
      </c>
      <c r="AF44" s="519">
        <f>'40 Year Breakdown'!AD34</f>
        <v>0</v>
      </c>
      <c r="AG44" s="519">
        <f>'40 Year Breakdown'!AE34</f>
        <v>0</v>
      </c>
      <c r="AH44" s="519">
        <f>'40 Year Breakdown'!AF34</f>
        <v>0</v>
      </c>
      <c r="AI44" s="519">
        <f>'40 Year Breakdown'!AG34</f>
        <v>0</v>
      </c>
      <c r="AJ44" s="519">
        <f>'40 Year Breakdown'!AH34</f>
        <v>0</v>
      </c>
      <c r="AK44" s="519">
        <f>'40 Year Breakdown'!AI34</f>
        <v>0</v>
      </c>
      <c r="AL44" s="519">
        <f>'40 Year Breakdown'!AJ34</f>
        <v>0</v>
      </c>
      <c r="AM44" s="519">
        <f>'40 Year Breakdown'!AK34</f>
        <v>0</v>
      </c>
      <c r="AN44" s="519">
        <f>'40 Year Breakdown'!AL34</f>
        <v>0</v>
      </c>
      <c r="AO44" s="519">
        <f>'40 Year Breakdown'!AM34</f>
        <v>0</v>
      </c>
      <c r="AP44" s="519">
        <f>'40 Year Breakdown'!AN34</f>
        <v>0</v>
      </c>
      <c r="AQ44" s="519">
        <f>'40 Year Breakdown'!AO34</f>
        <v>0</v>
      </c>
      <c r="AR44" s="519">
        <f>'40 Year Breakdown'!AP34</f>
        <v>0</v>
      </c>
      <c r="AS44" s="519">
        <f>'40 Year Breakdown'!AQ34</f>
        <v>0</v>
      </c>
      <c r="AT44" s="520">
        <f>'40 Year Breakdown'!AS34</f>
        <v>0</v>
      </c>
    </row>
    <row r="45" spans="1:46" s="273" customFormat="1" ht="8.25" customHeight="1">
      <c r="A45" s="313"/>
      <c r="B45" s="602"/>
      <c r="C45" s="364" t="s">
        <v>44</v>
      </c>
      <c r="D45" s="367">
        <f>'40 Year Breakdown'!D35</f>
        <v>0</v>
      </c>
      <c r="E45" s="367">
        <f>'40 Year Breakdown'!E35</f>
        <v>0</v>
      </c>
      <c r="F45" s="367">
        <f>'40 Year Breakdown'!F35</f>
        <v>0</v>
      </c>
      <c r="G45" s="367">
        <f>'40 Year Breakdown'!G35</f>
        <v>0</v>
      </c>
      <c r="H45" s="367">
        <f>'40 Year Breakdown'!H35</f>
        <v>0</v>
      </c>
      <c r="I45" s="367">
        <f>'40 Year Breakdown'!I35</f>
        <v>0</v>
      </c>
      <c r="J45" s="367">
        <f>'40 Year Breakdown'!J35</f>
        <v>0</v>
      </c>
      <c r="K45" s="367">
        <f>'40 Year Breakdown'!K35</f>
        <v>0</v>
      </c>
      <c r="L45" s="367">
        <f>'40 Year Breakdown'!L35</f>
        <v>0</v>
      </c>
      <c r="M45" s="367">
        <f>'40 Year Breakdown'!M35</f>
        <v>0</v>
      </c>
      <c r="N45" s="367">
        <f>'40 Year Breakdown'!N35</f>
        <v>0</v>
      </c>
      <c r="O45" s="367">
        <f>'40 Year Breakdown'!O35</f>
        <v>0</v>
      </c>
      <c r="P45" s="367">
        <f>'40 Year Breakdown'!P35</f>
        <v>0</v>
      </c>
      <c r="Q45" s="367">
        <f>'40 Year Breakdown'!Q35</f>
        <v>0</v>
      </c>
      <c r="R45" s="367">
        <f>'40 Year Breakdown'!R35</f>
        <v>0</v>
      </c>
      <c r="S45" s="367">
        <f>'40 Year Breakdown'!S35</f>
        <v>0</v>
      </c>
      <c r="T45" s="367">
        <f>'40 Year Breakdown'!T35</f>
        <v>0</v>
      </c>
      <c r="U45" s="367">
        <f>'40 Year Breakdown'!U35</f>
        <v>0</v>
      </c>
      <c r="V45" s="367">
        <f>'40 Year Breakdown'!V35</f>
        <v>0</v>
      </c>
      <c r="W45" s="367">
        <f>'40 Year Breakdown'!W35</f>
        <v>0</v>
      </c>
      <c r="X45" s="500"/>
      <c r="Y45" s="364" t="s">
        <v>44</v>
      </c>
      <c r="Z45" s="367">
        <f>'40 Year Breakdown'!X35</f>
        <v>0</v>
      </c>
      <c r="AA45" s="367">
        <f>'40 Year Breakdown'!Y35</f>
        <v>0</v>
      </c>
      <c r="AB45" s="367">
        <f>'40 Year Breakdown'!Z35</f>
        <v>0</v>
      </c>
      <c r="AC45" s="367">
        <f>'40 Year Breakdown'!AA35</f>
        <v>0</v>
      </c>
      <c r="AD45" s="367">
        <f>'40 Year Breakdown'!AB35</f>
        <v>0</v>
      </c>
      <c r="AE45" s="367">
        <f>'40 Year Breakdown'!AC35</f>
        <v>0</v>
      </c>
      <c r="AF45" s="367">
        <f>'40 Year Breakdown'!AD35</f>
        <v>0</v>
      </c>
      <c r="AG45" s="367">
        <f>'40 Year Breakdown'!AE35</f>
        <v>0</v>
      </c>
      <c r="AH45" s="367">
        <f>'40 Year Breakdown'!AF35</f>
        <v>0</v>
      </c>
      <c r="AI45" s="367">
        <f>'40 Year Breakdown'!AG35</f>
        <v>0</v>
      </c>
      <c r="AJ45" s="367">
        <f>'40 Year Breakdown'!AH35</f>
        <v>0</v>
      </c>
      <c r="AK45" s="367">
        <f>'40 Year Breakdown'!AI35</f>
        <v>0</v>
      </c>
      <c r="AL45" s="367">
        <f>'40 Year Breakdown'!AJ35</f>
        <v>0</v>
      </c>
      <c r="AM45" s="367">
        <f>'40 Year Breakdown'!AK35</f>
        <v>0</v>
      </c>
      <c r="AN45" s="367">
        <f>'40 Year Breakdown'!AL35</f>
        <v>0</v>
      </c>
      <c r="AO45" s="367">
        <f>'40 Year Breakdown'!AM35</f>
        <v>0</v>
      </c>
      <c r="AP45" s="367">
        <f>'40 Year Breakdown'!AN35</f>
        <v>0</v>
      </c>
      <c r="AQ45" s="367">
        <f>'40 Year Breakdown'!AO35</f>
        <v>0</v>
      </c>
      <c r="AR45" s="367">
        <f>'40 Year Breakdown'!AP35</f>
        <v>0</v>
      </c>
      <c r="AS45" s="367">
        <f>'40 Year Breakdown'!AQ35</f>
        <v>0</v>
      </c>
      <c r="AT45" s="520">
        <f>'40 Year Breakdown'!AS35</f>
        <v>0</v>
      </c>
    </row>
    <row r="46" spans="1:46" s="273" customFormat="1" ht="5.25" customHeight="1">
      <c r="A46" s="313"/>
      <c r="B46" s="522"/>
      <c r="C46" s="293"/>
      <c r="D46" s="523"/>
      <c r="E46" s="523"/>
      <c r="F46" s="523"/>
      <c r="G46" s="523"/>
      <c r="H46" s="523"/>
      <c r="I46" s="523"/>
      <c r="J46" s="523"/>
      <c r="K46" s="523"/>
      <c r="L46" s="523"/>
      <c r="M46" s="523"/>
      <c r="N46" s="523"/>
      <c r="O46" s="523"/>
      <c r="P46" s="523"/>
      <c r="Q46" s="523"/>
      <c r="R46" s="523"/>
      <c r="S46" s="523"/>
      <c r="T46" s="523"/>
      <c r="U46" s="523"/>
      <c r="V46" s="523"/>
      <c r="W46" s="523"/>
      <c r="X46" s="500"/>
      <c r="Y46" s="293"/>
      <c r="Z46" s="523"/>
      <c r="AA46" s="523"/>
      <c r="AB46" s="523"/>
      <c r="AC46" s="523"/>
      <c r="AD46" s="523"/>
      <c r="AE46" s="523"/>
      <c r="AF46" s="523"/>
      <c r="AG46" s="523"/>
      <c r="AH46" s="523"/>
      <c r="AI46" s="523"/>
      <c r="AJ46" s="523"/>
      <c r="AK46" s="523"/>
      <c r="AL46" s="523"/>
      <c r="AM46" s="523"/>
      <c r="AN46" s="523"/>
      <c r="AO46" s="523"/>
      <c r="AP46" s="523"/>
      <c r="AQ46" s="523"/>
      <c r="AR46" s="523"/>
      <c r="AS46" s="523"/>
      <c r="AT46" s="523"/>
    </row>
    <row r="47" spans="1:46" s="273" customFormat="1" ht="10.5" customHeight="1">
      <c r="A47" s="313"/>
      <c r="B47" s="602" t="s">
        <v>218</v>
      </c>
      <c r="C47" s="524" t="str">
        <f>Loans!F8</f>
        <v>EBS Mortgage</v>
      </c>
      <c r="D47" s="367">
        <f>'40 Year Breakdown'!D37</f>
        <v>7002.874277322635</v>
      </c>
      <c r="E47" s="367">
        <f>'40 Year Breakdown'!E37</f>
        <v>7002.874277322648</v>
      </c>
      <c r="F47" s="367">
        <f>'40 Year Breakdown'!F37</f>
        <v>7002.874277322661</v>
      </c>
      <c r="G47" s="367">
        <f>'40 Year Breakdown'!G37</f>
        <v>7002.874277322675</v>
      </c>
      <c r="H47" s="367">
        <f>'40 Year Breakdown'!H37</f>
        <v>7002.8742773226895</v>
      </c>
      <c r="I47" s="367">
        <f>'40 Year Breakdown'!I37</f>
        <v>7002.874277322706</v>
      </c>
      <c r="J47" s="367">
        <f>'40 Year Breakdown'!J37</f>
        <v>7002.874277322724</v>
      </c>
      <c r="K47" s="367">
        <f>'40 Year Breakdown'!K37</f>
        <v>7002.87427732274</v>
      </c>
      <c r="L47" s="367">
        <f>'40 Year Breakdown'!L37</f>
        <v>7002.874277322757</v>
      </c>
      <c r="M47" s="367">
        <f>'40 Year Breakdown'!M37</f>
        <v>7002.874277322775</v>
      </c>
      <c r="N47" s="367">
        <f>'40 Year Breakdown'!N37</f>
        <v>7002.874277322792</v>
      </c>
      <c r="O47" s="367">
        <f>'40 Year Breakdown'!O37</f>
        <v>7002.874277322811</v>
      </c>
      <c r="P47" s="367">
        <f>'40 Year Breakdown'!P37</f>
        <v>7002.8742773228305</v>
      </c>
      <c r="Q47" s="367">
        <f>'40 Year Breakdown'!Q37</f>
        <v>7002.87427732285</v>
      </c>
      <c r="R47" s="367">
        <f>'40 Year Breakdown'!R37</f>
        <v>7002.87427732287</v>
      </c>
      <c r="S47" s="367">
        <f>'40 Year Breakdown'!S37</f>
        <v>7002.874277322891</v>
      </c>
      <c r="T47" s="367">
        <f>'40 Year Breakdown'!T37</f>
        <v>7002.874277322915</v>
      </c>
      <c r="U47" s="367">
        <f>'40 Year Breakdown'!U37</f>
        <v>7002.874277322937</v>
      </c>
      <c r="V47" s="525">
        <f>'40 Year Breakdown'!V37</f>
        <v>7002.8742773229615</v>
      </c>
      <c r="W47" s="367">
        <f>'40 Year Breakdown'!W37</f>
        <v>7002.874277322988</v>
      </c>
      <c r="X47" s="500"/>
      <c r="Y47" s="524" t="str">
        <f>C47</f>
        <v>EBS Mortgage</v>
      </c>
      <c r="Z47" s="367">
        <f>'40 Year Breakdown'!X37</f>
        <v>7002.8742773230115</v>
      </c>
      <c r="AA47" s="367">
        <f>'40 Year Breakdown'!Y37</f>
        <v>7002.874277323039</v>
      </c>
      <c r="AB47" s="367">
        <f>'40 Year Breakdown'!Z37</f>
        <v>7002.874277323068</v>
      </c>
      <c r="AC47" s="367">
        <f>'40 Year Breakdown'!AA37</f>
        <v>7002.874277323095</v>
      </c>
      <c r="AD47" s="367">
        <f>'40 Year Breakdown'!AB37</f>
        <v>7002.874277323124</v>
      </c>
      <c r="AE47" s="367">
        <f>'40 Year Breakdown'!AC37</f>
        <v>7002.8742773231525</v>
      </c>
      <c r="AF47" s="367">
        <f>'40 Year Breakdown'!AD37</f>
        <v>7002.8742773231825</v>
      </c>
      <c r="AG47" s="367">
        <f>'40 Year Breakdown'!AE37</f>
        <v>7002.874277323213</v>
      </c>
      <c r="AH47" s="367">
        <f>'40 Year Breakdown'!AF37</f>
        <v>7002.87427732325</v>
      </c>
      <c r="AI47" s="367">
        <f>'40 Year Breakdown'!AG37</f>
        <v>7002.874277323289</v>
      </c>
      <c r="AJ47" s="367">
        <f>'40 Year Breakdown'!AH37</f>
      </c>
      <c r="AK47" s="367">
        <f>'40 Year Breakdown'!AI37</f>
      </c>
      <c r="AL47" s="367">
        <f>'40 Year Breakdown'!AJ37</f>
      </c>
      <c r="AM47" s="367">
        <f>'40 Year Breakdown'!AK37</f>
      </c>
      <c r="AN47" s="367">
        <f>'40 Year Breakdown'!AL37</f>
      </c>
      <c r="AO47" s="367">
        <f>'40 Year Breakdown'!AM37</f>
      </c>
      <c r="AP47" s="367">
        <f>'40 Year Breakdown'!AN37</f>
      </c>
      <c r="AQ47" s="367">
        <f>'40 Year Breakdown'!AO37</f>
      </c>
      <c r="AR47" s="367">
        <f>'40 Year Breakdown'!AP37</f>
      </c>
      <c r="AS47" s="367">
        <f>'40 Year Breakdown'!AQ37</f>
      </c>
      <c r="AT47" s="367">
        <f>'40 Year Breakdown'!AS37</f>
        <v>210086.22831968736</v>
      </c>
    </row>
    <row r="48" spans="1:46" s="273" customFormat="1" ht="9" customHeight="1">
      <c r="A48" s="313"/>
      <c r="B48" s="602"/>
      <c r="C48" s="524" t="str">
        <f>Loans!F9</f>
        <v>Radical Routes Loan</v>
      </c>
      <c r="D48" s="367">
        <f>'40 Year Breakdown'!D38</f>
      </c>
      <c r="E48" s="367">
        <f>'40 Year Breakdown'!E38</f>
      </c>
      <c r="F48" s="367">
        <f>'40 Year Breakdown'!F38</f>
      </c>
      <c r="G48" s="367">
        <f>'40 Year Breakdown'!G38</f>
      </c>
      <c r="H48" s="367">
        <f>'40 Year Breakdown'!H38</f>
      </c>
      <c r="I48" s="367">
        <f>'40 Year Breakdown'!I38</f>
      </c>
      <c r="J48" s="367">
        <f>'40 Year Breakdown'!J38</f>
      </c>
      <c r="K48" s="367">
        <f>'40 Year Breakdown'!K38</f>
      </c>
      <c r="L48" s="367">
        <f>'40 Year Breakdown'!L38</f>
      </c>
      <c r="M48" s="367">
        <f>'40 Year Breakdown'!M38</f>
      </c>
      <c r="N48" s="367">
        <f>'40 Year Breakdown'!N38</f>
      </c>
      <c r="O48" s="367">
        <f>'40 Year Breakdown'!O38</f>
      </c>
      <c r="P48" s="367">
        <f>'40 Year Breakdown'!P38</f>
      </c>
      <c r="Q48" s="367">
        <f>'40 Year Breakdown'!Q38</f>
      </c>
      <c r="R48" s="367">
        <f>'40 Year Breakdown'!R38</f>
      </c>
      <c r="S48" s="367">
        <f>'40 Year Breakdown'!S38</f>
      </c>
      <c r="T48" s="367">
        <f>'40 Year Breakdown'!T38</f>
      </c>
      <c r="U48" s="367">
        <f>'40 Year Breakdown'!U38</f>
      </c>
      <c r="V48" s="525">
        <f>'40 Year Breakdown'!V38</f>
      </c>
      <c r="W48" s="367">
        <f>'40 Year Breakdown'!W38</f>
      </c>
      <c r="X48" s="500"/>
      <c r="Y48" s="524" t="str">
        <f>C48</f>
        <v>Radical Routes Loan</v>
      </c>
      <c r="Z48" s="367">
        <f>'40 Year Breakdown'!X38</f>
      </c>
      <c r="AA48" s="367">
        <f>'40 Year Breakdown'!Y38</f>
      </c>
      <c r="AB48" s="367">
        <f>'40 Year Breakdown'!Z38</f>
      </c>
      <c r="AC48" s="367">
        <f>'40 Year Breakdown'!AA38</f>
      </c>
      <c r="AD48" s="367">
        <f>'40 Year Breakdown'!AB38</f>
      </c>
      <c r="AE48" s="367">
        <f>'40 Year Breakdown'!AC38</f>
      </c>
      <c r="AF48" s="367">
        <f>'40 Year Breakdown'!AD38</f>
      </c>
      <c r="AG48" s="367">
        <f>'40 Year Breakdown'!AE38</f>
      </c>
      <c r="AH48" s="367">
        <f>'40 Year Breakdown'!AF38</f>
      </c>
      <c r="AI48" s="367">
        <f>'40 Year Breakdown'!AG38</f>
      </c>
      <c r="AJ48" s="367">
        <f>'40 Year Breakdown'!AH38</f>
      </c>
      <c r="AK48" s="367">
        <f>'40 Year Breakdown'!AI38</f>
      </c>
      <c r="AL48" s="367">
        <f>'40 Year Breakdown'!AJ38</f>
      </c>
      <c r="AM48" s="367">
        <f>'40 Year Breakdown'!AK38</f>
      </c>
      <c r="AN48" s="367">
        <f>'40 Year Breakdown'!AL38</f>
      </c>
      <c r="AO48" s="367">
        <f>'40 Year Breakdown'!AM38</f>
      </c>
      <c r="AP48" s="367">
        <f>'40 Year Breakdown'!AN38</f>
      </c>
      <c r="AQ48" s="367">
        <f>'40 Year Breakdown'!AO38</f>
      </c>
      <c r="AR48" s="367">
        <f>'40 Year Breakdown'!AP38</f>
      </c>
      <c r="AS48" s="367">
        <f>'40 Year Breakdown'!AQ38</f>
      </c>
      <c r="AT48" s="367">
        <f>'40 Year Breakdown'!AS38</f>
        <v>0</v>
      </c>
    </row>
    <row r="49" spans="1:46" s="273" customFormat="1" ht="9" customHeight="1">
      <c r="A49" s="313"/>
      <c r="B49" s="602"/>
      <c r="C49" s="524">
        <f>Loans!F10</f>
        <v>0</v>
      </c>
      <c r="D49" s="367">
        <f>'40 Year Breakdown'!D39</f>
      </c>
      <c r="E49" s="367">
        <f>'40 Year Breakdown'!E39</f>
      </c>
      <c r="F49" s="367">
        <f>'40 Year Breakdown'!F39</f>
      </c>
      <c r="G49" s="367">
        <f>'40 Year Breakdown'!G39</f>
      </c>
      <c r="H49" s="367">
        <f>'40 Year Breakdown'!H39</f>
      </c>
      <c r="I49" s="367">
        <f>'40 Year Breakdown'!I39</f>
      </c>
      <c r="J49" s="367">
        <f>'40 Year Breakdown'!J39</f>
      </c>
      <c r="K49" s="367">
        <f>'40 Year Breakdown'!K39</f>
      </c>
      <c r="L49" s="367">
        <f>'40 Year Breakdown'!L39</f>
      </c>
      <c r="M49" s="367">
        <f>'40 Year Breakdown'!M39</f>
      </c>
      <c r="N49" s="367">
        <f>'40 Year Breakdown'!N39</f>
      </c>
      <c r="O49" s="367">
        <f>'40 Year Breakdown'!O39</f>
      </c>
      <c r="P49" s="367">
        <f>'40 Year Breakdown'!P39</f>
      </c>
      <c r="Q49" s="367">
        <f>'40 Year Breakdown'!Q39</f>
      </c>
      <c r="R49" s="367">
        <f>'40 Year Breakdown'!R39</f>
      </c>
      <c r="S49" s="367">
        <f>'40 Year Breakdown'!S39</f>
      </c>
      <c r="T49" s="367">
        <f>'40 Year Breakdown'!T39</f>
      </c>
      <c r="U49" s="367">
        <f>'40 Year Breakdown'!U39</f>
      </c>
      <c r="V49" s="525">
        <f>'40 Year Breakdown'!V39</f>
      </c>
      <c r="W49" s="367">
        <f>'40 Year Breakdown'!W39</f>
      </c>
      <c r="X49" s="500"/>
      <c r="Y49" s="524">
        <f>C49</f>
        <v>0</v>
      </c>
      <c r="Z49" s="367">
        <f>'40 Year Breakdown'!X39</f>
      </c>
      <c r="AA49" s="367">
        <f>'40 Year Breakdown'!Y39</f>
      </c>
      <c r="AB49" s="367">
        <f>'40 Year Breakdown'!Z39</f>
      </c>
      <c r="AC49" s="367">
        <f>'40 Year Breakdown'!AA39</f>
      </c>
      <c r="AD49" s="367">
        <f>'40 Year Breakdown'!AB39</f>
      </c>
      <c r="AE49" s="367">
        <f>'40 Year Breakdown'!AC39</f>
      </c>
      <c r="AF49" s="367">
        <f>'40 Year Breakdown'!AD39</f>
      </c>
      <c r="AG49" s="367">
        <f>'40 Year Breakdown'!AE39</f>
      </c>
      <c r="AH49" s="367">
        <f>'40 Year Breakdown'!AF39</f>
      </c>
      <c r="AI49" s="367">
        <f>'40 Year Breakdown'!AG39</f>
      </c>
      <c r="AJ49" s="367">
        <f>'40 Year Breakdown'!AH39</f>
      </c>
      <c r="AK49" s="367">
        <f>'40 Year Breakdown'!AI39</f>
      </c>
      <c r="AL49" s="367">
        <f>'40 Year Breakdown'!AJ39</f>
      </c>
      <c r="AM49" s="367">
        <f>'40 Year Breakdown'!AK39</f>
      </c>
      <c r="AN49" s="367">
        <f>'40 Year Breakdown'!AL39</f>
      </c>
      <c r="AO49" s="367">
        <f>'40 Year Breakdown'!AM39</f>
      </c>
      <c r="AP49" s="367">
        <f>'40 Year Breakdown'!AN39</f>
      </c>
      <c r="AQ49" s="367">
        <f>'40 Year Breakdown'!AO39</f>
      </c>
      <c r="AR49" s="367">
        <f>'40 Year Breakdown'!AP39</f>
      </c>
      <c r="AS49" s="367">
        <f>'40 Year Breakdown'!AQ39</f>
      </c>
      <c r="AT49" s="367">
        <f>'40 Year Breakdown'!AS39</f>
        <v>0</v>
      </c>
    </row>
    <row r="50" spans="1:46" s="273" customFormat="1" ht="9" customHeight="1">
      <c r="A50" s="313"/>
      <c r="B50" s="602"/>
      <c r="C50" s="524">
        <f>Loans!F11</f>
        <v>0</v>
      </c>
      <c r="D50" s="367">
        <f>'40 Year Breakdown'!D40</f>
      </c>
      <c r="E50" s="367">
        <f>'40 Year Breakdown'!E40</f>
      </c>
      <c r="F50" s="367">
        <f>'40 Year Breakdown'!F40</f>
      </c>
      <c r="G50" s="367">
        <f>'40 Year Breakdown'!G40</f>
      </c>
      <c r="H50" s="367">
        <f>'40 Year Breakdown'!H40</f>
      </c>
      <c r="I50" s="367">
        <f>'40 Year Breakdown'!I40</f>
      </c>
      <c r="J50" s="367">
        <f>'40 Year Breakdown'!J40</f>
      </c>
      <c r="K50" s="367">
        <f>'40 Year Breakdown'!K40</f>
      </c>
      <c r="L50" s="367">
        <f>'40 Year Breakdown'!L40</f>
      </c>
      <c r="M50" s="367">
        <f>'40 Year Breakdown'!M40</f>
      </c>
      <c r="N50" s="367">
        <f>'40 Year Breakdown'!N40</f>
      </c>
      <c r="O50" s="367">
        <f>'40 Year Breakdown'!O40</f>
      </c>
      <c r="P50" s="367">
        <f>'40 Year Breakdown'!P40</f>
      </c>
      <c r="Q50" s="367">
        <f>'40 Year Breakdown'!Q40</f>
      </c>
      <c r="R50" s="367">
        <f>'40 Year Breakdown'!R40</f>
      </c>
      <c r="S50" s="367">
        <f>'40 Year Breakdown'!S40</f>
      </c>
      <c r="T50" s="367">
        <f>'40 Year Breakdown'!T40</f>
      </c>
      <c r="U50" s="367">
        <f>'40 Year Breakdown'!U40</f>
      </c>
      <c r="V50" s="525">
        <f>'40 Year Breakdown'!V40</f>
      </c>
      <c r="W50" s="367">
        <f>'40 Year Breakdown'!W40</f>
      </c>
      <c r="X50" s="500"/>
      <c r="Y50" s="524">
        <f>C50</f>
        <v>0</v>
      </c>
      <c r="Z50" s="367">
        <f>'40 Year Breakdown'!X40</f>
      </c>
      <c r="AA50" s="367">
        <f>'40 Year Breakdown'!Y40</f>
      </c>
      <c r="AB50" s="367">
        <f>'40 Year Breakdown'!Z40</f>
      </c>
      <c r="AC50" s="367">
        <f>'40 Year Breakdown'!AA40</f>
      </c>
      <c r="AD50" s="367">
        <f>'40 Year Breakdown'!AB40</f>
      </c>
      <c r="AE50" s="367">
        <f>'40 Year Breakdown'!AC40</f>
      </c>
      <c r="AF50" s="367">
        <f>'40 Year Breakdown'!AD40</f>
      </c>
      <c r="AG50" s="367">
        <f>'40 Year Breakdown'!AE40</f>
      </c>
      <c r="AH50" s="367">
        <f>'40 Year Breakdown'!AF40</f>
      </c>
      <c r="AI50" s="367">
        <f>'40 Year Breakdown'!AG40</f>
      </c>
      <c r="AJ50" s="367">
        <f>'40 Year Breakdown'!AH40</f>
      </c>
      <c r="AK50" s="367">
        <f>'40 Year Breakdown'!AI40</f>
      </c>
      <c r="AL50" s="367">
        <f>'40 Year Breakdown'!AJ40</f>
      </c>
      <c r="AM50" s="367">
        <f>'40 Year Breakdown'!AK40</f>
      </c>
      <c r="AN50" s="367">
        <f>'40 Year Breakdown'!AL40</f>
      </c>
      <c r="AO50" s="367">
        <f>'40 Year Breakdown'!AM40</f>
      </c>
      <c r="AP50" s="367">
        <f>'40 Year Breakdown'!AN40</f>
      </c>
      <c r="AQ50" s="367">
        <f>'40 Year Breakdown'!AO40</f>
      </c>
      <c r="AR50" s="367">
        <f>'40 Year Breakdown'!AP40</f>
      </c>
      <c r="AS50" s="367">
        <f>'40 Year Breakdown'!AQ40</f>
      </c>
      <c r="AT50" s="367">
        <f>'40 Year Breakdown'!AS40</f>
        <v>0</v>
      </c>
    </row>
    <row r="51" spans="1:46" s="273" customFormat="1" ht="9" customHeight="1">
      <c r="A51" s="313"/>
      <c r="B51" s="602"/>
      <c r="C51" s="526" t="s">
        <v>219</v>
      </c>
      <c r="D51" s="367">
        <f>'40 Year Breakdown'!D41</f>
        <v>7002.874277322635</v>
      </c>
      <c r="E51" s="367">
        <f>'40 Year Breakdown'!E41</f>
        <v>7002.874277322648</v>
      </c>
      <c r="F51" s="367">
        <f>'40 Year Breakdown'!F41</f>
        <v>7002.874277322661</v>
      </c>
      <c r="G51" s="367">
        <f>'40 Year Breakdown'!G41</f>
        <v>7002.874277322675</v>
      </c>
      <c r="H51" s="367">
        <f>'40 Year Breakdown'!H41</f>
        <v>7002.8742773226895</v>
      </c>
      <c r="I51" s="367">
        <f>'40 Year Breakdown'!I41</f>
        <v>7002.874277322706</v>
      </c>
      <c r="J51" s="367">
        <f>'40 Year Breakdown'!J41</f>
        <v>7002.874277322724</v>
      </c>
      <c r="K51" s="367">
        <f>'40 Year Breakdown'!K41</f>
        <v>7002.87427732274</v>
      </c>
      <c r="L51" s="367">
        <f>'40 Year Breakdown'!L41</f>
        <v>7002.874277322757</v>
      </c>
      <c r="M51" s="367">
        <f>'40 Year Breakdown'!M41</f>
        <v>7002.874277322775</v>
      </c>
      <c r="N51" s="367">
        <f>'40 Year Breakdown'!N41</f>
        <v>7002.874277322792</v>
      </c>
      <c r="O51" s="367">
        <f>'40 Year Breakdown'!O41</f>
        <v>7002.874277322811</v>
      </c>
      <c r="P51" s="367">
        <f>'40 Year Breakdown'!P41</f>
        <v>7002.8742773228305</v>
      </c>
      <c r="Q51" s="367">
        <f>'40 Year Breakdown'!Q41</f>
        <v>7002.87427732285</v>
      </c>
      <c r="R51" s="367">
        <f>'40 Year Breakdown'!R41</f>
        <v>7002.87427732287</v>
      </c>
      <c r="S51" s="367">
        <f>'40 Year Breakdown'!S41</f>
        <v>7002.874277322891</v>
      </c>
      <c r="T51" s="367">
        <f>'40 Year Breakdown'!T41</f>
        <v>7002.874277322915</v>
      </c>
      <c r="U51" s="367">
        <f>'40 Year Breakdown'!U41</f>
        <v>7002.874277322937</v>
      </c>
      <c r="V51" s="525">
        <f>'40 Year Breakdown'!V41</f>
        <v>7002.8742773229615</v>
      </c>
      <c r="W51" s="367">
        <f>'40 Year Breakdown'!W41</f>
        <v>7002.874277322988</v>
      </c>
      <c r="X51" s="500"/>
      <c r="Y51" s="526" t="s">
        <v>219</v>
      </c>
      <c r="Z51" s="367">
        <f>'40 Year Breakdown'!X41</f>
        <v>7002.8742773230115</v>
      </c>
      <c r="AA51" s="367">
        <f>'40 Year Breakdown'!Y41</f>
        <v>7002.874277323039</v>
      </c>
      <c r="AB51" s="367">
        <f>'40 Year Breakdown'!Z41</f>
        <v>7002.874277323068</v>
      </c>
      <c r="AC51" s="367">
        <f>'40 Year Breakdown'!AA41</f>
        <v>7002.874277323095</v>
      </c>
      <c r="AD51" s="367">
        <f>'40 Year Breakdown'!AB41</f>
        <v>7002.874277323124</v>
      </c>
      <c r="AE51" s="367">
        <f>'40 Year Breakdown'!AC41</f>
        <v>7002.8742773231525</v>
      </c>
      <c r="AF51" s="367">
        <f>'40 Year Breakdown'!AD41</f>
        <v>7002.8742773231825</v>
      </c>
      <c r="AG51" s="367">
        <f>'40 Year Breakdown'!AE41</f>
        <v>7002.874277323213</v>
      </c>
      <c r="AH51" s="367">
        <f>'40 Year Breakdown'!AF41</f>
        <v>7002.87427732325</v>
      </c>
      <c r="AI51" s="367">
        <f>'40 Year Breakdown'!AG41</f>
        <v>7002.874277323289</v>
      </c>
      <c r="AJ51" s="367">
        <f>'40 Year Breakdown'!AH41</f>
        <v>0</v>
      </c>
      <c r="AK51" s="367">
        <f>'40 Year Breakdown'!AI41</f>
        <v>0</v>
      </c>
      <c r="AL51" s="367">
        <f>'40 Year Breakdown'!AJ41</f>
        <v>0</v>
      </c>
      <c r="AM51" s="367">
        <f>'40 Year Breakdown'!AK41</f>
        <v>0</v>
      </c>
      <c r="AN51" s="367">
        <f>'40 Year Breakdown'!AL41</f>
        <v>0</v>
      </c>
      <c r="AO51" s="367">
        <f>'40 Year Breakdown'!AM41</f>
        <v>0</v>
      </c>
      <c r="AP51" s="367">
        <f>'40 Year Breakdown'!AN41</f>
        <v>0</v>
      </c>
      <c r="AQ51" s="367">
        <f>'40 Year Breakdown'!AO41</f>
        <v>0</v>
      </c>
      <c r="AR51" s="367">
        <f>'40 Year Breakdown'!AP41</f>
        <v>0</v>
      </c>
      <c r="AS51" s="367">
        <f>'40 Year Breakdown'!AQ41</f>
        <v>0</v>
      </c>
      <c r="AT51" s="367"/>
    </row>
    <row r="52" spans="1:46" s="273" customFormat="1" ht="9" customHeight="1">
      <c r="A52" s="313"/>
      <c r="C52" s="506" t="s">
        <v>264</v>
      </c>
      <c r="D52" s="508">
        <f>'40 Year Breakdown'!D43</f>
        <v>7002.874277322635</v>
      </c>
      <c r="E52" s="508">
        <f>'40 Year Breakdown'!E43</f>
        <v>8238.874277322648</v>
      </c>
      <c r="F52" s="508">
        <f>'40 Year Breakdown'!F43</f>
        <v>8275.95427732266</v>
      </c>
      <c r="G52" s="508">
        <f>'40 Year Breakdown'!G43</f>
        <v>8314.146677322675</v>
      </c>
      <c r="H52" s="508">
        <f>'40 Year Breakdown'!H43</f>
        <v>8379.58484932269</v>
      </c>
      <c r="I52" s="508">
        <f>'40 Year Breakdown'!I43</f>
        <v>8420.103166482706</v>
      </c>
      <c r="J52" s="508">
        <f>'40 Year Breakdown'!J43</f>
        <v>8461.837033157524</v>
      </c>
      <c r="K52" s="508">
        <f>'40 Year Breakdown'!K43</f>
        <v>8504.822915832585</v>
      </c>
      <c r="L52" s="508">
        <f>'40 Year Breakdown'!L43</f>
        <v>8549.098374987896</v>
      </c>
      <c r="M52" s="508">
        <f>'40 Year Breakdown'!M43</f>
        <v>18620.80209791787</v>
      </c>
      <c r="N52" s="508">
        <f>'40 Year Breakdown'!N43</f>
        <v>8667.77393253574</v>
      </c>
      <c r="O52" s="508">
        <f>'40 Year Breakdown'!O43</f>
        <v>8716.154922192147</v>
      </c>
      <c r="P52" s="508">
        <f>'40 Year Breakdown'!P43</f>
        <v>8765.987341538246</v>
      </c>
      <c r="Q52" s="508">
        <f>'40 Year Breakdown'!Q43</f>
        <v>8817.314733464727</v>
      </c>
      <c r="R52" s="508">
        <f>'40 Year Breakdown'!R43</f>
        <v>8896.281947149004</v>
      </c>
      <c r="S52" s="508">
        <f>'40 Year Breakdown'!S43</f>
        <v>8950.735177243809</v>
      </c>
      <c r="T52" s="508">
        <f>'40 Year Breakdown'!T43</f>
        <v>9006.822004241461</v>
      </c>
      <c r="U52" s="508">
        <f>'40 Year Breakdown'!U43</f>
        <v>9064.591436049039</v>
      </c>
      <c r="V52" s="508">
        <f>'40 Year Breakdown'!V43</f>
        <v>9124.093950810846</v>
      </c>
      <c r="W52" s="508">
        <f>'40 Year Breakdown'!W43</f>
        <v>19211.48154101551</v>
      </c>
      <c r="X52" s="269"/>
      <c r="Y52" s="506" t="s">
        <v>264</v>
      </c>
      <c r="Z52" s="507">
        <f>'40 Year Breakdown'!X43</f>
        <v>9274.607758926308</v>
      </c>
      <c r="AA52" s="507">
        <f>'40 Year Breakdown'!Y43</f>
        <v>9339.627763374436</v>
      </c>
      <c r="AB52" s="507">
        <f>'40 Year Breakdown'!Z43</f>
        <v>9406.598367956005</v>
      </c>
      <c r="AC52" s="507">
        <f>'40 Year Breakdown'!AA43</f>
        <v>9475.578090675022</v>
      </c>
      <c r="AD52" s="507">
        <f>'40 Year Breakdown'!AB43</f>
        <v>9572.727205075607</v>
      </c>
      <c r="AE52" s="507">
        <f>'40 Year Breakdown'!AC43</f>
        <v>9645.90779290821</v>
      </c>
      <c r="AF52" s="507">
        <f>'40 Year Breakdown'!AD43</f>
        <v>9721.283798375793</v>
      </c>
      <c r="AG52" s="507">
        <f>'40 Year Breakdown'!AE43</f>
        <v>9798.921084007401</v>
      </c>
      <c r="AH52" s="507">
        <f>'40 Year Breakdown'!AF43</f>
        <v>9878.887488207964</v>
      </c>
      <c r="AI52" s="507">
        <f>'40 Year Breakdown'!AG43</f>
        <v>19987.352884534543</v>
      </c>
      <c r="AJ52" s="507">
        <f>'40 Year Breakdown'!AH43</f>
        <v>3069.3149654275935</v>
      </c>
      <c r="AK52" s="507">
        <f>'40 Year Breakdown'!AI43</f>
        <v>3156.6964143904215</v>
      </c>
      <c r="AL52" s="507">
        <f>'40 Year Breakdown'!AJ43</f>
        <v>3246.699306822134</v>
      </c>
      <c r="AM52" s="507">
        <f>'40 Year Breakdown'!AK43</f>
        <v>3339.4022860267983</v>
      </c>
      <c r="AN52" s="507">
        <f>'40 Year Breakdown'!AL43</f>
        <v>3460.986354607602</v>
      </c>
      <c r="AO52" s="507">
        <f>'40 Year Breakdown'!AM43</f>
        <v>3559.33494524583</v>
      </c>
      <c r="AP52" s="507">
        <f>'40 Year Breakdown'!AN43</f>
        <v>3660.633993603205</v>
      </c>
      <c r="AQ52" s="507">
        <f>'40 Year Breakdown'!AO43</f>
        <v>3764.9720134113013</v>
      </c>
      <c r="AR52" s="507">
        <f>'40 Year Breakdown'!AP43</f>
        <v>3872.4401738136403</v>
      </c>
      <c r="AS52" s="507">
        <f>'40 Year Breakdown'!AQ43</f>
        <v>4009.2323790280498</v>
      </c>
      <c r="AT52" s="507">
        <f>'40 Year Breakdown'!AS43</f>
        <v>333230.5399996504</v>
      </c>
    </row>
    <row r="53" spans="1:46" s="273" customFormat="1" ht="6" customHeight="1">
      <c r="A53" s="313"/>
      <c r="B53" s="313"/>
      <c r="C53" s="527"/>
      <c r="D53" s="382"/>
      <c r="E53" s="382"/>
      <c r="F53" s="382"/>
      <c r="G53" s="382"/>
      <c r="H53" s="382"/>
      <c r="I53" s="382"/>
      <c r="J53" s="382"/>
      <c r="K53" s="382"/>
      <c r="L53" s="382"/>
      <c r="M53" s="382"/>
      <c r="N53" s="382"/>
      <c r="O53" s="382"/>
      <c r="P53" s="382"/>
      <c r="Q53" s="382"/>
      <c r="R53" s="382"/>
      <c r="S53" s="382"/>
      <c r="T53" s="382"/>
      <c r="U53" s="382"/>
      <c r="V53" s="382"/>
      <c r="W53" s="382"/>
      <c r="X53" s="500"/>
      <c r="Y53" s="527"/>
      <c r="Z53" s="382"/>
      <c r="AA53" s="382"/>
      <c r="AB53" s="382"/>
      <c r="AC53" s="382"/>
      <c r="AD53" s="382"/>
      <c r="AE53" s="382"/>
      <c r="AF53" s="382"/>
      <c r="AG53" s="382"/>
      <c r="AH53" s="382"/>
      <c r="AI53" s="382"/>
      <c r="AJ53" s="382"/>
      <c r="AK53" s="382"/>
      <c r="AL53" s="382"/>
      <c r="AM53" s="382"/>
      <c r="AN53" s="382"/>
      <c r="AO53" s="382"/>
      <c r="AP53" s="382"/>
      <c r="AQ53" s="382"/>
      <c r="AR53" s="382"/>
      <c r="AS53" s="382"/>
      <c r="AT53" s="382"/>
    </row>
    <row r="54" spans="1:46" s="497" customFormat="1" ht="9" customHeight="1">
      <c r="A54" s="496"/>
      <c r="B54" s="496"/>
      <c r="C54" s="496" t="s">
        <v>98</v>
      </c>
      <c r="D54" s="300">
        <v>1</v>
      </c>
      <c r="E54" s="300">
        <v>2</v>
      </c>
      <c r="F54" s="300">
        <v>3</v>
      </c>
      <c r="G54" s="300">
        <v>4</v>
      </c>
      <c r="H54" s="300">
        <v>5</v>
      </c>
      <c r="I54" s="300">
        <v>6</v>
      </c>
      <c r="J54" s="300">
        <v>7</v>
      </c>
      <c r="K54" s="300">
        <v>8</v>
      </c>
      <c r="L54" s="300">
        <v>9</v>
      </c>
      <c r="M54" s="300">
        <v>10</v>
      </c>
      <c r="N54" s="300">
        <v>11</v>
      </c>
      <c r="O54" s="300">
        <v>12</v>
      </c>
      <c r="P54" s="300">
        <v>13</v>
      </c>
      <c r="Q54" s="300">
        <v>14</v>
      </c>
      <c r="R54" s="300">
        <v>15</v>
      </c>
      <c r="S54" s="300">
        <v>16</v>
      </c>
      <c r="T54" s="300">
        <v>17</v>
      </c>
      <c r="U54" s="300">
        <v>18</v>
      </c>
      <c r="V54" s="300">
        <v>19</v>
      </c>
      <c r="W54" s="300">
        <v>20</v>
      </c>
      <c r="X54" s="269"/>
      <c r="Y54" s="496" t="s">
        <v>98</v>
      </c>
      <c r="Z54" s="300">
        <v>21</v>
      </c>
      <c r="AA54" s="300">
        <v>22</v>
      </c>
      <c r="AB54" s="300">
        <v>23</v>
      </c>
      <c r="AC54" s="300">
        <v>24</v>
      </c>
      <c r="AD54" s="300">
        <v>25</v>
      </c>
      <c r="AE54" s="300">
        <v>26</v>
      </c>
      <c r="AF54" s="300">
        <v>27</v>
      </c>
      <c r="AG54" s="300">
        <v>28</v>
      </c>
      <c r="AH54" s="300">
        <v>29</v>
      </c>
      <c r="AI54" s="300">
        <v>30</v>
      </c>
      <c r="AJ54" s="300">
        <f aca="true" t="shared" si="2" ref="AJ54:AS54">AI54+1</f>
        <v>31</v>
      </c>
      <c r="AK54" s="300">
        <f t="shared" si="2"/>
        <v>32</v>
      </c>
      <c r="AL54" s="300">
        <f t="shared" si="2"/>
        <v>33</v>
      </c>
      <c r="AM54" s="300">
        <f t="shared" si="2"/>
        <v>34</v>
      </c>
      <c r="AN54" s="300">
        <f t="shared" si="2"/>
        <v>35</v>
      </c>
      <c r="AO54" s="300">
        <f t="shared" si="2"/>
        <v>36</v>
      </c>
      <c r="AP54" s="300">
        <f t="shared" si="2"/>
        <v>37</v>
      </c>
      <c r="AQ54" s="300">
        <f t="shared" si="2"/>
        <v>38</v>
      </c>
      <c r="AR54" s="300">
        <f t="shared" si="2"/>
        <v>39</v>
      </c>
      <c r="AS54" s="300">
        <f t="shared" si="2"/>
        <v>40</v>
      </c>
      <c r="AT54" s="300"/>
    </row>
    <row r="55" spans="1:46" s="497" customFormat="1" ht="6" customHeight="1">
      <c r="A55" s="528"/>
      <c r="B55" s="528"/>
      <c r="C55" s="528"/>
      <c r="D55" s="321"/>
      <c r="E55" s="321"/>
      <c r="F55" s="321"/>
      <c r="G55" s="321"/>
      <c r="H55" s="321"/>
      <c r="I55" s="321"/>
      <c r="J55" s="321"/>
      <c r="K55" s="321"/>
      <c r="L55" s="321"/>
      <c r="M55" s="321"/>
      <c r="N55" s="321"/>
      <c r="O55" s="321"/>
      <c r="P55" s="321"/>
      <c r="Q55" s="321"/>
      <c r="R55" s="321"/>
      <c r="S55" s="321"/>
      <c r="T55" s="321"/>
      <c r="U55" s="321"/>
      <c r="V55" s="321"/>
      <c r="W55" s="321"/>
      <c r="X55" s="269"/>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row>
    <row r="56" spans="1:46" s="273" customFormat="1" ht="9" customHeight="1">
      <c r="A56" s="325"/>
      <c r="B56" s="603" t="s">
        <v>273</v>
      </c>
      <c r="C56" s="603"/>
      <c r="D56" s="529">
        <f>'40 Year Breakdown'!D45</f>
        <v>93997.12572267736</v>
      </c>
      <c r="E56" s="529">
        <f>'40 Year Breakdown'!E45</f>
        <v>-8238.874277322648</v>
      </c>
      <c r="F56" s="529">
        <f>'40 Year Breakdown'!F45</f>
        <v>-8275.95427732266</v>
      </c>
      <c r="G56" s="529">
        <f>'40 Year Breakdown'!G45</f>
        <v>-8314.146677322675</v>
      </c>
      <c r="H56" s="529">
        <f>'40 Year Breakdown'!H45</f>
        <v>-8118.5848493226895</v>
      </c>
      <c r="I56" s="529">
        <f>'40 Year Breakdown'!I45</f>
        <v>-8159.103166482706</v>
      </c>
      <c r="J56" s="529">
        <f>'40 Year Breakdown'!J45</f>
        <v>-8200.837033157524</v>
      </c>
      <c r="K56" s="529">
        <f>'40 Year Breakdown'!K45</f>
        <v>-8243.822915832585</v>
      </c>
      <c r="L56" s="529">
        <f>'40 Year Breakdown'!L45</f>
        <v>-8288.098374987896</v>
      </c>
      <c r="M56" s="529">
        <f>'40 Year Breakdown'!M45</f>
        <v>-18098.80209791787</v>
      </c>
      <c r="N56" s="529">
        <f>'40 Year Breakdown'!N45</f>
        <v>-8145.77393253574</v>
      </c>
      <c r="O56" s="529">
        <f>'40 Year Breakdown'!O45</f>
        <v>-8194.154922192147</v>
      </c>
      <c r="P56" s="529">
        <f>'40 Year Breakdown'!P45</f>
        <v>-8243.987341538246</v>
      </c>
      <c r="Q56" s="529">
        <f>'40 Year Breakdown'!Q45</f>
        <v>-8295.314733464727</v>
      </c>
      <c r="R56" s="529">
        <f>'40 Year Breakdown'!R45</f>
        <v>-8113.281947149004</v>
      </c>
      <c r="S56" s="529">
        <f>'40 Year Breakdown'!S45</f>
        <v>-8167.735177243809</v>
      </c>
      <c r="T56" s="529">
        <f>'40 Year Breakdown'!T45</f>
        <v>-8223.822004241461</v>
      </c>
      <c r="U56" s="529">
        <f>'40 Year Breakdown'!U45</f>
        <v>-8281.591436049039</v>
      </c>
      <c r="V56" s="529">
        <f>'40 Year Breakdown'!V45</f>
        <v>-8341.093950810846</v>
      </c>
      <c r="W56" s="529">
        <f>'40 Year Breakdown'!W45</f>
        <v>-18167.48154101551</v>
      </c>
      <c r="X56" s="269"/>
      <c r="Y56" s="530" t="s">
        <v>273</v>
      </c>
      <c r="Z56" s="529">
        <f>'40 Year Breakdown'!X45</f>
        <v>-8230.607758926308</v>
      </c>
      <c r="AA56" s="529">
        <f>'40 Year Breakdown'!Y45</f>
        <v>-8295.627763374436</v>
      </c>
      <c r="AB56" s="529">
        <f>'40 Year Breakdown'!Z45</f>
        <v>-8362.598367956005</v>
      </c>
      <c r="AC56" s="529">
        <f>'40 Year Breakdown'!AA45</f>
        <v>-8431.578090675022</v>
      </c>
      <c r="AD56" s="529">
        <f>'40 Year Breakdown'!AB45</f>
        <v>-8267.727205075607</v>
      </c>
      <c r="AE56" s="529">
        <f>'40 Year Breakdown'!AC45</f>
        <v>-8340.90779290821</v>
      </c>
      <c r="AF56" s="529">
        <f>'40 Year Breakdown'!AD45</f>
        <v>-8416.283798375793</v>
      </c>
      <c r="AG56" s="529">
        <f>'40 Year Breakdown'!AE45</f>
        <v>-8493.921084007401</v>
      </c>
      <c r="AH56" s="529">
        <f>'40 Year Breakdown'!AF45</f>
        <v>-8573.887488207964</v>
      </c>
      <c r="AI56" s="529">
        <f>'40 Year Breakdown'!AG45</f>
        <v>-18421.352884534543</v>
      </c>
      <c r="AJ56" s="529">
        <f>'40 Year Breakdown'!AH45</f>
        <v>-1503.3149654275935</v>
      </c>
      <c r="AK56" s="529">
        <f>'40 Year Breakdown'!AI45</f>
        <v>-1590.6964143904215</v>
      </c>
      <c r="AL56" s="529">
        <f>'40 Year Breakdown'!AJ45</f>
        <v>-1680.699306822134</v>
      </c>
      <c r="AM56" s="529">
        <f>'40 Year Breakdown'!AK45</f>
        <v>-1773.4022860267983</v>
      </c>
      <c r="AN56" s="529">
        <f>'40 Year Breakdown'!AL45</f>
        <v>-1633.9863546076022</v>
      </c>
      <c r="AO56" s="529">
        <f>'40 Year Breakdown'!AM45</f>
        <v>-1732.33494524583</v>
      </c>
      <c r="AP56" s="529">
        <f>'40 Year Breakdown'!AN45</f>
        <v>-1833.633993603205</v>
      </c>
      <c r="AQ56" s="529">
        <f>'40 Year Breakdown'!AO45</f>
        <v>-1937.9720134113013</v>
      </c>
      <c r="AR56" s="529">
        <f>'40 Year Breakdown'!AP45</f>
        <v>-2045.4401738136403</v>
      </c>
      <c r="AS56" s="529">
        <f>'40 Year Breakdown'!AQ45</f>
        <v>-1921.2323790280498</v>
      </c>
      <c r="AT56" s="529">
        <f>'40 Year Breakdown'!AS45</f>
        <v>-193602.53999965024</v>
      </c>
    </row>
    <row r="57" spans="1:46" s="273" customFormat="1" ht="5.25" customHeight="1">
      <c r="A57" s="325"/>
      <c r="B57" s="325"/>
      <c r="C57" s="325"/>
      <c r="D57" s="531"/>
      <c r="E57" s="531"/>
      <c r="F57" s="531"/>
      <c r="G57" s="531"/>
      <c r="H57" s="531"/>
      <c r="I57" s="531"/>
      <c r="J57" s="531"/>
      <c r="K57" s="531"/>
      <c r="L57" s="531"/>
      <c r="M57" s="531"/>
      <c r="N57" s="531"/>
      <c r="O57" s="531"/>
      <c r="P57" s="531"/>
      <c r="Q57" s="531"/>
      <c r="R57" s="531"/>
      <c r="S57" s="531"/>
      <c r="T57" s="531"/>
      <c r="U57" s="531"/>
      <c r="V57" s="531"/>
      <c r="W57" s="531"/>
      <c r="X57" s="500"/>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row>
    <row r="58" s="423" customFormat="1" ht="6" customHeight="1"/>
    <row r="59" spans="1:46" s="273" customFormat="1" ht="5.25" customHeight="1">
      <c r="A59" s="532"/>
      <c r="B59" s="532"/>
      <c r="C59" s="532"/>
      <c r="D59" s="390"/>
      <c r="E59" s="390"/>
      <c r="F59" s="390"/>
      <c r="G59" s="390"/>
      <c r="H59" s="390"/>
      <c r="I59" s="390"/>
      <c r="J59" s="390"/>
      <c r="K59" s="390"/>
      <c r="L59" s="390"/>
      <c r="M59" s="390"/>
      <c r="N59" s="390"/>
      <c r="O59" s="390"/>
      <c r="P59" s="390"/>
      <c r="Q59" s="390"/>
      <c r="R59" s="390"/>
      <c r="S59" s="390"/>
      <c r="T59" s="390"/>
      <c r="U59" s="390"/>
      <c r="V59" s="390"/>
      <c r="W59" s="390"/>
      <c r="X59" s="50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row>
    <row r="60" spans="1:46" s="497" customFormat="1" ht="9" customHeight="1">
      <c r="A60" s="533"/>
      <c r="B60" s="603" t="s">
        <v>274</v>
      </c>
      <c r="C60" s="603"/>
      <c r="D60" s="529">
        <f>'40 Year Breakdown'!D50</f>
        <v>92997.12572267736</v>
      </c>
      <c r="E60" s="529">
        <f>'40 Year Breakdown'!E50</f>
        <v>84758.25144535472</v>
      </c>
      <c r="F60" s="529">
        <f>'40 Year Breakdown'!F50</f>
        <v>76482.29716803206</v>
      </c>
      <c r="G60" s="529">
        <f>'40 Year Breakdown'!G50</f>
        <v>68168.15049070939</v>
      </c>
      <c r="H60" s="529">
        <f>'40 Year Breakdown'!H50</f>
        <v>60049.565641386704</v>
      </c>
      <c r="I60" s="529">
        <f>'40 Year Breakdown'!I50</f>
        <v>51890.462474903994</v>
      </c>
      <c r="J60" s="529">
        <f>'40 Year Breakdown'!J50</f>
        <v>43689.625441746466</v>
      </c>
      <c r="K60" s="529">
        <f>'40 Year Breakdown'!K50</f>
        <v>35445.80252591388</v>
      </c>
      <c r="L60" s="529">
        <f>'40 Year Breakdown'!L50</f>
        <v>27157.704150925987</v>
      </c>
      <c r="M60" s="529">
        <f>'40 Year Breakdown'!M50</f>
        <v>9058.902053008118</v>
      </c>
      <c r="N60" s="529">
        <f>'40 Year Breakdown'!N50</f>
        <v>913.1281204723782</v>
      </c>
      <c r="O60" s="529">
        <f>'40 Year Breakdown'!O50</f>
        <v>-7281.026801719769</v>
      </c>
      <c r="P60" s="529">
        <f>'40 Year Breakdown'!P50</f>
        <v>-15525.014143258015</v>
      </c>
      <c r="Q60" s="529">
        <f>'40 Year Breakdown'!Q50</f>
        <v>-23820.328876722742</v>
      </c>
      <c r="R60" s="529">
        <f>'40 Year Breakdown'!R50</f>
        <v>-31933.610823871746</v>
      </c>
      <c r="S60" s="529">
        <f>'40 Year Breakdown'!S50</f>
        <v>-40101.346001115555</v>
      </c>
      <c r="T60" s="529">
        <f>'40 Year Breakdown'!T50</f>
        <v>-48325.168005357016</v>
      </c>
      <c r="U60" s="529">
        <f>'40 Year Breakdown'!U50</f>
        <v>-56606.75944140606</v>
      </c>
      <c r="V60" s="529">
        <f>'40 Year Breakdown'!V50</f>
        <v>-64947.8533922169</v>
      </c>
      <c r="W60" s="529">
        <f>'40 Year Breakdown'!W50</f>
        <v>-83115.33493323241</v>
      </c>
      <c r="X60" s="269"/>
      <c r="Y60" s="530" t="s">
        <v>274</v>
      </c>
      <c r="Z60" s="529">
        <f>'40 Year Breakdown'!X50</f>
        <v>-91345.94269215871</v>
      </c>
      <c r="AA60" s="529">
        <f>'40 Year Breakdown'!Y50</f>
        <v>-99641.57045553315</v>
      </c>
      <c r="AB60" s="529">
        <f>'40 Year Breakdown'!Z50</f>
        <v>-108004.16882348915</v>
      </c>
      <c r="AC60" s="529">
        <f>'40 Year Breakdown'!AA50</f>
        <v>-116435.74691416416</v>
      </c>
      <c r="AD60" s="529">
        <f>'40 Year Breakdown'!AB50</f>
        <v>-124703.47411923978</v>
      </c>
      <c r="AE60" s="529">
        <f>'40 Year Breakdown'!AC50</f>
        <v>-133044.38191214798</v>
      </c>
      <c r="AF60" s="529">
        <f>'40 Year Breakdown'!AD50</f>
        <v>-141460.66571052378</v>
      </c>
      <c r="AG60" s="529">
        <f>'40 Year Breakdown'!AE50</f>
        <v>-149954.58679453118</v>
      </c>
      <c r="AH60" s="529">
        <f>'40 Year Breakdown'!AF50</f>
        <v>-158528.47428273913</v>
      </c>
      <c r="AI60" s="529">
        <f>'40 Year Breakdown'!AG50</f>
        <v>-176949.82716727367</v>
      </c>
      <c r="AJ60" s="529">
        <f>'40 Year Breakdown'!AH50</f>
        <v>-178453.14213270126</v>
      </c>
      <c r="AK60" s="529">
        <f>'40 Year Breakdown'!AI50</f>
        <v>-180043.8385470917</v>
      </c>
      <c r="AL60" s="529">
        <f>'40 Year Breakdown'!AJ50</f>
        <v>-181724.53785391382</v>
      </c>
      <c r="AM60" s="529">
        <f>'40 Year Breakdown'!AK50</f>
        <v>-183497.94013994062</v>
      </c>
      <c r="AN60" s="529">
        <f>'40 Year Breakdown'!AL50</f>
        <v>-185131.9264945482</v>
      </c>
      <c r="AO60" s="529">
        <f>'40 Year Breakdown'!AM50</f>
        <v>-186864.26143979403</v>
      </c>
      <c r="AP60" s="529">
        <f>'40 Year Breakdown'!AN50</f>
        <v>-188697.89543339724</v>
      </c>
      <c r="AQ60" s="529">
        <f>'40 Year Breakdown'!AO50</f>
        <v>-190635.86744680855</v>
      </c>
      <c r="AR60" s="529">
        <f>'40 Year Breakdown'!AP50</f>
        <v>-192681.3076206222</v>
      </c>
      <c r="AS60" s="529">
        <f>'40 Year Breakdown'!AQ50</f>
        <v>-194602.53999965024</v>
      </c>
      <c r="AT60" s="269"/>
    </row>
    <row r="61" spans="1:46" s="538" customFormat="1" ht="6" customHeight="1">
      <c r="A61" s="534"/>
      <c r="B61" s="535"/>
      <c r="C61" s="534"/>
      <c r="D61" s="536"/>
      <c r="E61" s="536"/>
      <c r="F61" s="536"/>
      <c r="G61" s="536"/>
      <c r="H61" s="536"/>
      <c r="I61" s="536"/>
      <c r="J61" s="536"/>
      <c r="K61" s="536"/>
      <c r="L61" s="536"/>
      <c r="M61" s="536"/>
      <c r="N61" s="536"/>
      <c r="O61" s="536"/>
      <c r="P61" s="536"/>
      <c r="Q61" s="536"/>
      <c r="R61" s="536"/>
      <c r="S61" s="536"/>
      <c r="T61" s="536"/>
      <c r="U61" s="536"/>
      <c r="V61" s="536"/>
      <c r="W61" s="536"/>
      <c r="X61" s="537"/>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row>
    <row r="62" spans="1:46" s="273" customFormat="1" ht="9" customHeight="1">
      <c r="A62" s="293"/>
      <c r="B62" s="604" t="s">
        <v>222</v>
      </c>
      <c r="C62" s="539" t="s">
        <v>223</v>
      </c>
      <c r="D62" s="540">
        <f>'40 Year Breakdown'!D47</f>
        <v>1000</v>
      </c>
      <c r="E62" s="540">
        <f>'40 Year Breakdown'!E47</f>
        <v>0</v>
      </c>
      <c r="F62" s="540">
        <f>'40 Year Breakdown'!F47</f>
        <v>0</v>
      </c>
      <c r="G62" s="540">
        <f>'40 Year Breakdown'!G47</f>
        <v>0</v>
      </c>
      <c r="H62" s="540">
        <f>'40 Year Breakdown'!H47</f>
        <v>0</v>
      </c>
      <c r="I62" s="540">
        <f>'40 Year Breakdown'!I47</f>
        <v>0</v>
      </c>
      <c r="J62" s="540">
        <f>'40 Year Breakdown'!J47</f>
        <v>0</v>
      </c>
      <c r="K62" s="540">
        <f>'40 Year Breakdown'!K47</f>
        <v>0</v>
      </c>
      <c r="L62" s="540">
        <f>'40 Year Breakdown'!L47</f>
        <v>0</v>
      </c>
      <c r="M62" s="540">
        <f>'40 Year Breakdown'!M47</f>
        <v>0</v>
      </c>
      <c r="N62" s="540">
        <f>'40 Year Breakdown'!N47</f>
        <v>0</v>
      </c>
      <c r="O62" s="540">
        <f>'40 Year Breakdown'!O47</f>
        <v>0</v>
      </c>
      <c r="P62" s="540">
        <f>'40 Year Breakdown'!P47</f>
        <v>0</v>
      </c>
      <c r="Q62" s="540">
        <f>'40 Year Breakdown'!Q47</f>
        <v>0</v>
      </c>
      <c r="R62" s="540">
        <f>'40 Year Breakdown'!R47</f>
        <v>0</v>
      </c>
      <c r="S62" s="540">
        <f>'40 Year Breakdown'!S47</f>
        <v>0</v>
      </c>
      <c r="T62" s="540">
        <f>'40 Year Breakdown'!T47</f>
        <v>0</v>
      </c>
      <c r="U62" s="540">
        <f>'40 Year Breakdown'!U47</f>
        <v>0</v>
      </c>
      <c r="V62" s="540">
        <f>'40 Year Breakdown'!V47</f>
        <v>0</v>
      </c>
      <c r="W62" s="540">
        <f>'40 Year Breakdown'!W47</f>
        <v>0</v>
      </c>
      <c r="X62" s="500"/>
      <c r="Y62" s="364" t="s">
        <v>223</v>
      </c>
      <c r="Z62" s="541">
        <f>'40 Year Breakdown'!X47</f>
        <v>0</v>
      </c>
      <c r="AA62" s="541">
        <f>'40 Year Breakdown'!Y47</f>
        <v>0</v>
      </c>
      <c r="AB62" s="541">
        <f>'40 Year Breakdown'!Z47</f>
        <v>0</v>
      </c>
      <c r="AC62" s="541">
        <f>'40 Year Breakdown'!AA47</f>
        <v>0</v>
      </c>
      <c r="AD62" s="541">
        <f>'40 Year Breakdown'!AB47</f>
        <v>0</v>
      </c>
      <c r="AE62" s="541">
        <f>'40 Year Breakdown'!AC47</f>
        <v>0</v>
      </c>
      <c r="AF62" s="541">
        <f>'40 Year Breakdown'!AD47</f>
        <v>0</v>
      </c>
      <c r="AG62" s="541">
        <f>'40 Year Breakdown'!AE47</f>
        <v>0</v>
      </c>
      <c r="AH62" s="541">
        <f>'40 Year Breakdown'!AF47</f>
        <v>0</v>
      </c>
      <c r="AI62" s="541">
        <f>'40 Year Breakdown'!AG47</f>
        <v>0</v>
      </c>
      <c r="AJ62" s="541">
        <f>'40 Year Breakdown'!AH47</f>
        <v>0</v>
      </c>
      <c r="AK62" s="541">
        <f>'40 Year Breakdown'!AI47</f>
        <v>0</v>
      </c>
      <c r="AL62" s="541">
        <f>'40 Year Breakdown'!AJ47</f>
        <v>0</v>
      </c>
      <c r="AM62" s="541">
        <f>'40 Year Breakdown'!AK47</f>
        <v>0</v>
      </c>
      <c r="AN62" s="541">
        <f>'40 Year Breakdown'!AL47</f>
        <v>0</v>
      </c>
      <c r="AO62" s="541">
        <f>'40 Year Breakdown'!AM47</f>
        <v>0</v>
      </c>
      <c r="AP62" s="541">
        <f>'40 Year Breakdown'!AN47</f>
        <v>0</v>
      </c>
      <c r="AQ62" s="541">
        <f>'40 Year Breakdown'!AO47</f>
        <v>0</v>
      </c>
      <c r="AR62" s="541">
        <f>'40 Year Breakdown'!AP47</f>
        <v>0</v>
      </c>
      <c r="AS62" s="541">
        <f>'40 Year Breakdown'!AQ47</f>
        <v>0</v>
      </c>
      <c r="AT62" s="542">
        <f>SUM(D62:AS62)</f>
        <v>1000</v>
      </c>
    </row>
    <row r="63" spans="1:46" s="273" customFormat="1" ht="9" customHeight="1">
      <c r="A63" s="293"/>
      <c r="B63" s="604"/>
      <c r="C63" s="539" t="s">
        <v>224</v>
      </c>
      <c r="D63" s="540">
        <f>'40 Year Breakdown'!D48</f>
        <v>0</v>
      </c>
      <c r="E63" s="540">
        <f>'40 Year Breakdown'!E48</f>
        <v>0</v>
      </c>
      <c r="F63" s="540">
        <f>'40 Year Breakdown'!F48</f>
        <v>0</v>
      </c>
      <c r="G63" s="540">
        <f>'40 Year Breakdown'!G48</f>
        <v>0</v>
      </c>
      <c r="H63" s="540">
        <f>'40 Year Breakdown'!H48</f>
        <v>0</v>
      </c>
      <c r="I63" s="540">
        <f>'40 Year Breakdown'!I48</f>
        <v>0</v>
      </c>
      <c r="J63" s="540">
        <f>'40 Year Breakdown'!J48</f>
        <v>0</v>
      </c>
      <c r="K63" s="540">
        <f>'40 Year Breakdown'!K48</f>
        <v>0</v>
      </c>
      <c r="L63" s="540">
        <f>'40 Year Breakdown'!L48</f>
        <v>0</v>
      </c>
      <c r="M63" s="540">
        <f>'40 Year Breakdown'!M48</f>
        <v>0</v>
      </c>
      <c r="N63" s="540">
        <f>'40 Year Breakdown'!N48</f>
        <v>0</v>
      </c>
      <c r="O63" s="540">
        <f>'40 Year Breakdown'!O48</f>
        <v>0</v>
      </c>
      <c r="P63" s="540">
        <f>'40 Year Breakdown'!P48</f>
        <v>0</v>
      </c>
      <c r="Q63" s="540">
        <f>'40 Year Breakdown'!Q48</f>
        <v>0</v>
      </c>
      <c r="R63" s="540">
        <f>'40 Year Breakdown'!R48</f>
        <v>0</v>
      </c>
      <c r="S63" s="540">
        <f>'40 Year Breakdown'!S48</f>
        <v>0</v>
      </c>
      <c r="T63" s="540">
        <f>'40 Year Breakdown'!T48</f>
        <v>0</v>
      </c>
      <c r="U63" s="540">
        <f>'40 Year Breakdown'!U48</f>
        <v>0</v>
      </c>
      <c r="V63" s="540">
        <f>'40 Year Breakdown'!V48</f>
        <v>0</v>
      </c>
      <c r="W63" s="540">
        <f>'40 Year Breakdown'!W48</f>
        <v>0</v>
      </c>
      <c r="X63" s="500"/>
      <c r="Y63" s="364" t="s">
        <v>224</v>
      </c>
      <c r="Z63" s="541">
        <f>'40 Year Breakdown'!X48</f>
        <v>0</v>
      </c>
      <c r="AA63" s="541">
        <f>'40 Year Breakdown'!Y48</f>
        <v>0</v>
      </c>
      <c r="AB63" s="541">
        <f>'40 Year Breakdown'!Z48</f>
        <v>0</v>
      </c>
      <c r="AC63" s="541">
        <f>'40 Year Breakdown'!AA48</f>
        <v>0</v>
      </c>
      <c r="AD63" s="541">
        <f>'40 Year Breakdown'!AB48</f>
        <v>0</v>
      </c>
      <c r="AE63" s="541">
        <f>'40 Year Breakdown'!AC48</f>
        <v>0</v>
      </c>
      <c r="AF63" s="541">
        <f>'40 Year Breakdown'!AD48</f>
        <v>0</v>
      </c>
      <c r="AG63" s="541">
        <f>'40 Year Breakdown'!AE48</f>
        <v>0</v>
      </c>
      <c r="AH63" s="541">
        <f>'40 Year Breakdown'!AF48</f>
        <v>0</v>
      </c>
      <c r="AI63" s="541">
        <f>'40 Year Breakdown'!AG48</f>
        <v>0</v>
      </c>
      <c r="AJ63" s="541">
        <f>'40 Year Breakdown'!AH48</f>
        <v>0</v>
      </c>
      <c r="AK63" s="541">
        <f>'40 Year Breakdown'!AI48</f>
        <v>0</v>
      </c>
      <c r="AL63" s="541">
        <f>'40 Year Breakdown'!AJ48</f>
        <v>0</v>
      </c>
      <c r="AM63" s="541">
        <f>'40 Year Breakdown'!AK48</f>
        <v>0</v>
      </c>
      <c r="AN63" s="541">
        <f>'40 Year Breakdown'!AL48</f>
        <v>0</v>
      </c>
      <c r="AO63" s="541">
        <f>'40 Year Breakdown'!AM48</f>
        <v>0</v>
      </c>
      <c r="AP63" s="541">
        <f>'40 Year Breakdown'!AN48</f>
        <v>0</v>
      </c>
      <c r="AQ63" s="541">
        <f>'40 Year Breakdown'!AO48</f>
        <v>0</v>
      </c>
      <c r="AR63" s="541">
        <f>'40 Year Breakdown'!AP48</f>
        <v>0</v>
      </c>
      <c r="AS63" s="541">
        <f>'40 Year Breakdown'!AQ48</f>
        <v>0</v>
      </c>
      <c r="AT63" s="542">
        <f>SUM(D63:AS63)</f>
        <v>0</v>
      </c>
    </row>
    <row r="64" ht="5.25" customHeight="1"/>
    <row r="65" ht="13.5" customHeight="1"/>
  </sheetData>
  <sheetProtection sheet="1"/>
  <mergeCells count="8">
    <mergeCell ref="B60:C60"/>
    <mergeCell ref="B62:B63"/>
    <mergeCell ref="B1:C1"/>
    <mergeCell ref="Y1:AB1"/>
    <mergeCell ref="B18:B24"/>
    <mergeCell ref="B39:B45"/>
    <mergeCell ref="B47:B51"/>
    <mergeCell ref="B56:C56"/>
  </mergeCells>
  <dataValidations count="1">
    <dataValidation type="list" operator="equal" allowBlank="1" showErrorMessage="1" sqref="N15">
      <formula1>estimatedOrActual</formula1>
    </dataValidation>
  </dataValidations>
  <printOptions/>
  <pageMargins left="0.39375" right="0.7875" top="0.39375" bottom="0.39375" header="0.5118055555555555" footer="0.5118055555555555"/>
  <pageSetup horizontalDpi="300" verticalDpi="300" orientation="landscape" paperSize="9"/>
  <drawing r:id="rId3"/>
  <legacyDrawing r:id="rId2"/>
</worksheet>
</file>

<file path=xl/worksheets/sheet8.xml><?xml version="1.0" encoding="utf-8"?>
<worksheet xmlns="http://schemas.openxmlformats.org/spreadsheetml/2006/main" xmlns:r="http://schemas.openxmlformats.org/officeDocument/2006/relationships">
  <dimension ref="A1:B53"/>
  <sheetViews>
    <sheetView zoomScalePageLayoutView="0" workbookViewId="0" topLeftCell="A16">
      <selection activeCell="B56" sqref="B56"/>
    </sheetView>
  </sheetViews>
  <sheetFormatPr defaultColWidth="9.140625" defaultRowHeight="12.75" customHeight="1"/>
  <cols>
    <col min="2" max="2" width="210.57421875" style="0" customWidth="1"/>
  </cols>
  <sheetData>
    <row r="1" ht="15.75" customHeight="1">
      <c r="A1" s="543" t="s">
        <v>275</v>
      </c>
    </row>
    <row r="3" spans="1:2" ht="12.75" customHeight="1">
      <c r="A3" s="16" t="s">
        <v>276</v>
      </c>
      <c r="B3" s="16" t="s">
        <v>277</v>
      </c>
    </row>
    <row r="5" spans="1:2" ht="12.75" customHeight="1">
      <c r="A5" s="16">
        <v>1.9</v>
      </c>
      <c r="B5" s="16" t="s">
        <v>278</v>
      </c>
    </row>
    <row r="6" ht="12.75" customHeight="1">
      <c r="B6" t="s">
        <v>279</v>
      </c>
    </row>
    <row r="7" ht="12.75" customHeight="1">
      <c r="B7" t="s">
        <v>280</v>
      </c>
    </row>
    <row r="8" ht="12.75" customHeight="1">
      <c r="B8" t="s">
        <v>281</v>
      </c>
    </row>
    <row r="10" ht="12.75" customHeight="1">
      <c r="B10" s="16" t="s">
        <v>282</v>
      </c>
    </row>
    <row r="12" ht="12.75" customHeight="1">
      <c r="B12" s="16" t="s">
        <v>283</v>
      </c>
    </row>
    <row r="14" spans="1:2" ht="12.75" customHeight="1">
      <c r="A14">
        <v>2</v>
      </c>
      <c r="B14" t="s">
        <v>284</v>
      </c>
    </row>
    <row r="16" spans="1:2" ht="12.75" customHeight="1">
      <c r="A16">
        <v>2.1</v>
      </c>
      <c r="B16" t="s">
        <v>285</v>
      </c>
    </row>
    <row r="18" spans="1:2" ht="12.75" customHeight="1">
      <c r="A18">
        <v>2.2</v>
      </c>
      <c r="B18" t="s">
        <v>286</v>
      </c>
    </row>
    <row r="19" ht="12.75" customHeight="1">
      <c r="B19" t="s">
        <v>287</v>
      </c>
    </row>
    <row r="20" ht="12.75" customHeight="1">
      <c r="B20" t="s">
        <v>288</v>
      </c>
    </row>
    <row r="21" ht="12.75" customHeight="1">
      <c r="B21" t="s">
        <v>289</v>
      </c>
    </row>
    <row r="22" ht="12.75" customHeight="1">
      <c r="B22" t="s">
        <v>290</v>
      </c>
    </row>
    <row r="23" ht="12.75" customHeight="1">
      <c r="B23" t="s">
        <v>291</v>
      </c>
    </row>
    <row r="25" spans="1:2" ht="12.75" customHeight="1">
      <c r="A25">
        <v>2.3</v>
      </c>
      <c r="B25" t="s">
        <v>292</v>
      </c>
    </row>
    <row r="26" ht="12.75" customHeight="1">
      <c r="B26" t="s">
        <v>293</v>
      </c>
    </row>
    <row r="27" ht="12.75" customHeight="1">
      <c r="B27" t="s">
        <v>294</v>
      </c>
    </row>
    <row r="28" ht="12.75" customHeight="1">
      <c r="B28" t="s">
        <v>295</v>
      </c>
    </row>
    <row r="29" ht="12.75" customHeight="1">
      <c r="B29" t="s">
        <v>296</v>
      </c>
    </row>
    <row r="30" ht="12.75" customHeight="1">
      <c r="B30" t="s">
        <v>297</v>
      </c>
    </row>
    <row r="32" spans="1:2" ht="12.75" customHeight="1">
      <c r="A32">
        <v>2.4</v>
      </c>
      <c r="B32" t="s">
        <v>298</v>
      </c>
    </row>
    <row r="33" ht="12.75" customHeight="1">
      <c r="B33" t="s">
        <v>299</v>
      </c>
    </row>
    <row r="34" ht="12.75" customHeight="1">
      <c r="B34" t="s">
        <v>300</v>
      </c>
    </row>
    <row r="35" ht="12.75" customHeight="1">
      <c r="B35" t="s">
        <v>301</v>
      </c>
    </row>
    <row r="36" ht="12.75" customHeight="1">
      <c r="B36" t="s">
        <v>302</v>
      </c>
    </row>
    <row r="38" spans="1:2" ht="12.75" customHeight="1">
      <c r="A38" s="13" t="s">
        <v>303</v>
      </c>
      <c r="B38" t="s">
        <v>304</v>
      </c>
    </row>
    <row r="40" spans="1:2" ht="12.75" customHeight="1">
      <c r="A40">
        <v>2.5</v>
      </c>
      <c r="B40" t="s">
        <v>305</v>
      </c>
    </row>
    <row r="41" ht="12.75" customHeight="1">
      <c r="B41" t="s">
        <v>306</v>
      </c>
    </row>
    <row r="42" ht="12.75" customHeight="1">
      <c r="B42" s="1" t="s">
        <v>307</v>
      </c>
    </row>
    <row r="43" ht="12.75" customHeight="1">
      <c r="B43" s="1" t="s">
        <v>308</v>
      </c>
    </row>
    <row r="45" spans="1:2" ht="12.75" customHeight="1">
      <c r="A45">
        <v>2.51</v>
      </c>
      <c r="B45" t="s">
        <v>309</v>
      </c>
    </row>
    <row r="46" ht="12.75" customHeight="1">
      <c r="B46" t="s">
        <v>310</v>
      </c>
    </row>
    <row r="48" spans="1:2" ht="12.75" customHeight="1">
      <c r="A48" s="13" t="s">
        <v>311</v>
      </c>
      <c r="B48" t="s">
        <v>312</v>
      </c>
    </row>
    <row r="49" ht="12.75" customHeight="1">
      <c r="B49" t="s">
        <v>313</v>
      </c>
    </row>
    <row r="50" ht="12.75" customHeight="1">
      <c r="B50" t="s">
        <v>314</v>
      </c>
    </row>
    <row r="52" spans="1:2" ht="12.75" customHeight="1">
      <c r="A52" s="13" t="s">
        <v>315</v>
      </c>
      <c r="B52" t="s">
        <v>316</v>
      </c>
    </row>
    <row r="53" ht="12.75" customHeight="1">
      <c r="B53" t="s">
        <v>317</v>
      </c>
    </row>
  </sheetData>
  <sheetProtection sheet="1"/>
  <hyperlinks>
    <hyperlink ref="B48" r:id="rId1" display="https://www.gov.uk/stamp-duty-land-tax-rates"/>
  </hyperlink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2.75" customHeight="1"/>
  <sheetData>
    <row r="1" ht="26.25" customHeight="1">
      <c r="A1" s="544" t="s">
        <v>318</v>
      </c>
    </row>
    <row r="16" spans="2:13" ht="12.75" customHeight="1">
      <c r="B16" s="16" t="s">
        <v>319</v>
      </c>
      <c r="H16" s="16" t="s">
        <v>320</v>
      </c>
      <c r="M16" s="16" t="s">
        <v>321</v>
      </c>
    </row>
    <row r="17" spans="2:13" ht="12.75" customHeight="1">
      <c r="B17" s="36" t="s">
        <v>322</v>
      </c>
      <c r="E17" s="16" t="s">
        <v>323</v>
      </c>
      <c r="H17" s="16" t="s">
        <v>324</v>
      </c>
      <c r="M17" s="16" t="s">
        <v>325</v>
      </c>
    </row>
    <row r="18" spans="2:5" ht="15" customHeight="1">
      <c r="B18" s="37"/>
      <c r="E18" s="545" t="s">
        <v>326</v>
      </c>
    </row>
    <row r="19" spans="2:13" ht="15" customHeight="1">
      <c r="B19" s="1" t="s">
        <v>326</v>
      </c>
      <c r="E19" s="546" t="s">
        <v>327</v>
      </c>
      <c r="H19" s="1" t="s">
        <v>111</v>
      </c>
      <c r="M19" t="s">
        <v>328</v>
      </c>
    </row>
    <row r="20" spans="2:13" ht="12.75" customHeight="1">
      <c r="B20" s="1" t="s">
        <v>329</v>
      </c>
      <c r="E20" s="1" t="s">
        <v>330</v>
      </c>
      <c r="H20" s="1" t="s">
        <v>116</v>
      </c>
      <c r="M20" t="s">
        <v>112</v>
      </c>
    </row>
    <row r="27" ht="12.75" customHeight="1">
      <c r="B27" s="16" t="s">
        <v>331</v>
      </c>
    </row>
    <row r="28" spans="2:4" ht="12.75" customHeight="1">
      <c r="B28" s="547" t="s">
        <v>332</v>
      </c>
      <c r="C28" s="548">
        <v>34000</v>
      </c>
      <c r="D28" s="548" t="s">
        <v>333</v>
      </c>
    </row>
    <row r="29" spans="2:4" ht="12.75" customHeight="1">
      <c r="B29" s="548" t="s">
        <v>334</v>
      </c>
      <c r="C29" s="549">
        <f>0.06/12</f>
        <v>0.005</v>
      </c>
      <c r="D29" s="548" t="s">
        <v>335</v>
      </c>
    </row>
    <row r="30" spans="2:4" ht="12.75" customHeight="1">
      <c r="B30" s="548" t="s">
        <v>336</v>
      </c>
      <c r="C30" s="548">
        <f>20*12</f>
        <v>240</v>
      </c>
      <c r="D30" s="548" t="s">
        <v>337</v>
      </c>
    </row>
    <row r="31" spans="2:4" ht="12.75" customHeight="1">
      <c r="B31" s="548" t="s">
        <v>338</v>
      </c>
      <c r="C31" s="550">
        <f>PMT(C29,C30,C28,C32,C33)</f>
        <v>-243.58655988257604</v>
      </c>
      <c r="D31" s="548" t="s">
        <v>339</v>
      </c>
    </row>
    <row r="32" spans="2:4" ht="12.75" customHeight="1">
      <c r="B32" s="548" t="s">
        <v>340</v>
      </c>
      <c r="C32" s="548">
        <v>0</v>
      </c>
      <c r="D32" s="548" t="s">
        <v>341</v>
      </c>
    </row>
    <row r="33" spans="2:4" ht="12.75" customHeight="1">
      <c r="B33" s="548" t="s">
        <v>342</v>
      </c>
      <c r="C33" s="548">
        <v>0</v>
      </c>
      <c r="D33" s="548" t="s">
        <v>343</v>
      </c>
    </row>
  </sheetData>
  <sheetProtection sheet="1"/>
  <dataValidations count="1">
    <dataValidation type="list" operator="equal" allowBlank="1" showErrorMessage="1" sqref="D23">
      <formula1>loanStckConfirmed</formula1>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Avatar</cp:lastModifiedBy>
  <dcterms:modified xsi:type="dcterms:W3CDTF">2016-01-09T16:31:06Z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