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Home" sheetId="1" r:id="rId1"/>
    <sheet name="Conventional" sheetId="2" r:id="rId2"/>
    <sheet name="Org offsite" sheetId="3" r:id="rId3"/>
    <sheet name="Org onsite" sheetId="4" r:id="rId4"/>
    <sheet name="Org onsite+stock" sheetId="5" r:id="rId5"/>
    <sheet name="Pasture" sheetId="6" r:id="rId6"/>
    <sheet name="Nuts" sheetId="7" r:id="rId7"/>
    <sheet name="Agro-forestry" sheetId="8" r:id="rId8"/>
    <sheet name="Woodland" sheetId="9" r:id="rId9"/>
    <sheet name="References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System User</author>
  </authors>
  <commentList>
    <comment ref="C76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Ley grazed by cattle at 50% stocking density</t>
        </r>
      </text>
    </comment>
  </commentList>
</comments>
</file>

<file path=xl/comments6.xml><?xml version="1.0" encoding="utf-8"?>
<comments xmlns="http://schemas.openxmlformats.org/spreadsheetml/2006/main">
  <authors>
    <author>System User</author>
  </authors>
  <commentList>
    <comment ref="E32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2x25 yr planting cycles, with 3 yrs to maturity in each cycle (in assumed 50 yr time envelope of analysis)</t>
        </r>
      </text>
    </comment>
    <comment ref="F32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Proportion not consumed by livestock annually</t>
        </r>
      </text>
    </comment>
    <comment ref="E20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Methane-CO2 conversion factor</t>
        </r>
      </text>
    </comment>
    <comment ref="E61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Methane-CO2 conversion factor</t>
        </r>
      </text>
    </comment>
    <comment ref="E73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2x25 yr planting cycles, with 3 yrs to maturity in each cycle (in assumed 50 yr time envelope of analysis)</t>
        </r>
      </text>
    </comment>
    <comment ref="F73" authorId="0">
      <text>
        <r>
          <rPr>
            <b/>
            <sz val="8"/>
            <rFont val="Tahoma"/>
            <family val="0"/>
          </rPr>
          <t>System User:</t>
        </r>
        <r>
          <rPr>
            <sz val="8"/>
            <rFont val="Tahoma"/>
            <family val="0"/>
          </rPr>
          <t xml:space="preserve">
Proportion not consumed by livestock annually</t>
        </r>
      </text>
    </comment>
  </commentList>
</comments>
</file>

<file path=xl/sharedStrings.xml><?xml version="1.0" encoding="utf-8"?>
<sst xmlns="http://schemas.openxmlformats.org/spreadsheetml/2006/main" count="617" uniqueCount="278">
  <si>
    <t>t/ha</t>
  </si>
  <si>
    <t>kj/kg</t>
  </si>
  <si>
    <t>mj/ha</t>
  </si>
  <si>
    <t>Potato</t>
  </si>
  <si>
    <t>Yield</t>
  </si>
  <si>
    <t>Energy</t>
  </si>
  <si>
    <t>Energy yield</t>
  </si>
  <si>
    <t>Lettuce</t>
  </si>
  <si>
    <t>Leek</t>
  </si>
  <si>
    <t>Parsnip</t>
  </si>
  <si>
    <t>Squash</t>
  </si>
  <si>
    <t>Total annual productivity</t>
  </si>
  <si>
    <t>Ploughing</t>
  </si>
  <si>
    <t>Power harrow</t>
  </si>
  <si>
    <t>Rolling</t>
  </si>
  <si>
    <t>Drilling</t>
  </si>
  <si>
    <t>Potato planting</t>
  </si>
  <si>
    <t>Fertiliser</t>
  </si>
  <si>
    <t>kg/ha</t>
  </si>
  <si>
    <t>mj/kg N</t>
  </si>
  <si>
    <t>Total energy use</t>
  </si>
  <si>
    <t>Woodland</t>
  </si>
  <si>
    <t>Emissions</t>
  </si>
  <si>
    <t>Conventional</t>
  </si>
  <si>
    <t>Diesel used</t>
  </si>
  <si>
    <t>l</t>
  </si>
  <si>
    <t>kg CO2</t>
  </si>
  <si>
    <t>Diesel emissions</t>
  </si>
  <si>
    <t>Tillage emissions</t>
  </si>
  <si>
    <t>Total emissions</t>
  </si>
  <si>
    <t>Total energy produced</t>
  </si>
  <si>
    <t>Net energy produced</t>
  </si>
  <si>
    <t>Net emissions</t>
  </si>
  <si>
    <t>Harvesting</t>
  </si>
  <si>
    <t>Pork yield</t>
  </si>
  <si>
    <t>kg</t>
  </si>
  <si>
    <t>Total energy</t>
  </si>
  <si>
    <t>mj</t>
  </si>
  <si>
    <t>Soil carbon sequestration</t>
  </si>
  <si>
    <t>kg C/ha</t>
  </si>
  <si>
    <t>kg CO2/ha</t>
  </si>
  <si>
    <t>Fertiliser emissions</t>
  </si>
  <si>
    <t>kg CO3</t>
  </si>
  <si>
    <t>Fuel use (diesel equivalent)</t>
  </si>
  <si>
    <t>Tot Energy/emissions</t>
  </si>
  <si>
    <t>Tot Energy/fuel</t>
  </si>
  <si>
    <t>Biomass sequestration</t>
  </si>
  <si>
    <t>t CO2</t>
  </si>
  <si>
    <t>Organic offsite</t>
  </si>
  <si>
    <t>Total yield</t>
  </si>
  <si>
    <t>Compost application</t>
  </si>
  <si>
    <t>feedstock ratio</t>
  </si>
  <si>
    <t>car loads</t>
  </si>
  <si>
    <t>lorry loads</t>
  </si>
  <si>
    <t>car mileage</t>
  </si>
  <si>
    <t>car mileage fully imputed</t>
  </si>
  <si>
    <t>lorry mileage</t>
  </si>
  <si>
    <t>lorry to landfill</t>
  </si>
  <si>
    <t>transport back</t>
  </si>
  <si>
    <t>total lorry mileage</t>
  </si>
  <si>
    <t>total lorry litres</t>
  </si>
  <si>
    <t>total car emissions</t>
  </si>
  <si>
    <t>total lorry emissions</t>
  </si>
  <si>
    <t>fuel in manufacture</t>
  </si>
  <si>
    <t>emissions in manufacture</t>
  </si>
  <si>
    <t>total emissions</t>
  </si>
  <si>
    <t>lorry from HWRC to landfill</t>
  </si>
  <si>
    <t>car petrol</t>
  </si>
  <si>
    <t>l/ha</t>
  </si>
  <si>
    <t>Net productivity</t>
  </si>
  <si>
    <t>Net energy productivity</t>
  </si>
  <si>
    <t>C sequestration:</t>
  </si>
  <si>
    <t>Tillage sequestration</t>
  </si>
  <si>
    <t>Tot Energy*emissions</t>
  </si>
  <si>
    <t>Gross yield</t>
  </si>
  <si>
    <t>l diesel/ha</t>
  </si>
  <si>
    <t>Cows</t>
  </si>
  <si>
    <t>Net energy</t>
  </si>
  <si>
    <t>ch4-co2</t>
  </si>
  <si>
    <t>Meat yield</t>
  </si>
  <si>
    <t>Meat energy</t>
  </si>
  <si>
    <t>MJ</t>
  </si>
  <si>
    <t>CH4</t>
  </si>
  <si>
    <t>Total Energy use</t>
  </si>
  <si>
    <t>Sequestration</t>
  </si>
  <si>
    <t>Total ch4-co2</t>
  </si>
  <si>
    <t>Sheep</t>
  </si>
  <si>
    <t>kg/yr</t>
  </si>
  <si>
    <t>pasture</t>
  </si>
  <si>
    <t>kg CO2/l</t>
  </si>
  <si>
    <t>Nuts</t>
  </si>
  <si>
    <t>Chestnuts</t>
  </si>
  <si>
    <t>kg after 5 yrs</t>
  </si>
  <si>
    <t>kg after 10 yrs</t>
  </si>
  <si>
    <t>Ave annual yield</t>
  </si>
  <si>
    <t>trees/ha</t>
  </si>
  <si>
    <t>Hazels</t>
  </si>
  <si>
    <t>kg/ha after 5yrs</t>
  </si>
  <si>
    <t>Walnuts</t>
  </si>
  <si>
    <t>kg after 5yrs</t>
  </si>
  <si>
    <t>kg after 10yrs</t>
  </si>
  <si>
    <t>Dairy</t>
  </si>
  <si>
    <t>Beef</t>
  </si>
  <si>
    <t>Tot energy</t>
  </si>
  <si>
    <t>Fuel</t>
  </si>
  <si>
    <t>Nut orchard/AF</t>
  </si>
  <si>
    <t>Residual</t>
  </si>
  <si>
    <t>Per hectare</t>
  </si>
  <si>
    <t>ha farmland</t>
  </si>
  <si>
    <t>uk population</t>
  </si>
  <si>
    <t>children &lt;16</t>
  </si>
  <si>
    <t>men</t>
  </si>
  <si>
    <t>women</t>
  </si>
  <si>
    <t>Nitrogen output of ley</t>
  </si>
  <si>
    <t>Pigs</t>
  </si>
  <si>
    <t>No.</t>
  </si>
  <si>
    <t>kgN</t>
  </si>
  <si>
    <t>occupancy</t>
  </si>
  <si>
    <t>Total kg N</t>
  </si>
  <si>
    <t>Poultry</t>
  </si>
  <si>
    <t>Cattle</t>
  </si>
  <si>
    <t>Ley @ 0.18ha</t>
  </si>
  <si>
    <t>Gross yield (veg)</t>
  </si>
  <si>
    <t>Net yield (veg)</t>
  </si>
  <si>
    <t>eggs</t>
  </si>
  <si>
    <t>Total food energy</t>
  </si>
  <si>
    <t>Livestock emissions</t>
  </si>
  <si>
    <t>Plus potatoes</t>
  </si>
  <si>
    <t>Chris Smaje</t>
  </si>
  <si>
    <t>The tables on this page of the workbook correspond to the tables (and other calculations) in the text.</t>
  </si>
  <si>
    <t>References and data sources are in the final tab.</t>
  </si>
  <si>
    <t>Table 1: Energy Productivity (MJ/ha)</t>
  </si>
  <si>
    <t>Conventional Veg</t>
  </si>
  <si>
    <t>Organic Veg (No till, offsite)</t>
  </si>
  <si>
    <t>Agro-forestry (Nut + stock)</t>
  </si>
  <si>
    <t>Nut orchard</t>
  </si>
  <si>
    <t>Organic Veg (Stock + tillage)</t>
  </si>
  <si>
    <t>Organic Veg (No till, onsite)</t>
  </si>
  <si>
    <t>Pasture</t>
  </si>
  <si>
    <t>Table 2: Carbon emissions (t/ha)</t>
  </si>
  <si>
    <t>The figures in these tables are linked to the worksheets labelled on the tabs at the bottom of the page, where the underlying data &amp; calculations can be found.</t>
  </si>
  <si>
    <t>Source: DEFRA (2009)</t>
  </si>
  <si>
    <t>Source: Paul &amp; Southgate (1978)</t>
  </si>
  <si>
    <t>Calculations below refer to a theoretical 5 course field rotation of potatoes, summer + winter brassica, lettuce + leeks, parsnips, squash</t>
  </si>
  <si>
    <t>Summer Brassica (Calabrese)</t>
  </si>
  <si>
    <t>Winter Brassica (Swede)</t>
  </si>
  <si>
    <t>Source: http://www.calu.bangor.ac.uk/Technical%20leaflets/</t>
  </si>
  <si>
    <t>Source: DEFRA (2003)</t>
  </si>
  <si>
    <t>Energy productivity of field crops</t>
  </si>
  <si>
    <t>Energy use of field operations</t>
  </si>
  <si>
    <t>Energy use of fertiliser application</t>
  </si>
  <si>
    <t>Weed/pesticide/fert pass</t>
  </si>
  <si>
    <t>Source: DEFRA (2000)</t>
  </si>
  <si>
    <t>Source: Bertillsson et al (2008)</t>
  </si>
  <si>
    <t xml:space="preserve">Source: Bioenergy Feedstock Information Network (2008). </t>
  </si>
  <si>
    <t>MJ/t</t>
  </si>
  <si>
    <t>MJ/l</t>
  </si>
  <si>
    <t>2.5cm application @ 400g/l density</t>
  </si>
  <si>
    <t>Feedstock comprising 50% carloads to HWRC @ 50kg</t>
  </si>
  <si>
    <t>Feedstock comprising 50% lorryloads to HWRC @ 5000kg</t>
  </si>
  <si>
    <t>Assumed average car mileage - 3km round trip</t>
  </si>
  <si>
    <t>Joint journey factored</t>
  </si>
  <si>
    <t>Petrol use</t>
  </si>
  <si>
    <t>Assumed lorry mileage - 5km round trip</t>
  </si>
  <si>
    <t>Lorry mileage to compost facility</t>
  </si>
  <si>
    <t>20 tonne lorry load from HWRC to compost facility</t>
  </si>
  <si>
    <t>Source: Vallis Veg Records</t>
  </si>
  <si>
    <t>0.4 l/km lorry fuel economy</t>
  </si>
  <si>
    <t>20 tonne lorry load from compost facility to site</t>
  </si>
  <si>
    <t>Diesel energy used</t>
  </si>
  <si>
    <t>Petrol energy used</t>
  </si>
  <si>
    <t>Source: Coleman (1995, p.115); Hall &amp; Tollhurst (2006, p.51)</t>
  </si>
  <si>
    <t>Diesel use</t>
  </si>
  <si>
    <t>Diesel use (rate)</t>
  </si>
  <si>
    <t>Diesel use (actual)</t>
  </si>
  <si>
    <t>Total diesel use</t>
  </si>
  <si>
    <t>Source: DEFRA (2003) - 143 g/sq m/yr</t>
  </si>
  <si>
    <t>Yield (livestock)</t>
  </si>
  <si>
    <t>Mowing rate</t>
  </si>
  <si>
    <t>Rotovating rate</t>
  </si>
  <si>
    <t>Actual cutting</t>
  </si>
  <si>
    <t>Actual rotavating</t>
  </si>
  <si>
    <t>Ploughing sequestration</t>
  </si>
  <si>
    <t>Ploughing emissions actual</t>
  </si>
  <si>
    <t>Sequestration (non-tilled)</t>
  </si>
  <si>
    <t>Sequestration (GM)</t>
  </si>
  <si>
    <t>Cows methane</t>
  </si>
  <si>
    <t>Poultry (eggs)</t>
  </si>
  <si>
    <t>kg/egg</t>
  </si>
  <si>
    <t>KJ/kg</t>
  </si>
  <si>
    <t>Egg energy</t>
  </si>
  <si>
    <t>Organic (No till, on site)</t>
  </si>
  <si>
    <t>Organic Onsite + Stock</t>
  </si>
  <si>
    <t>tCO2 eq</t>
  </si>
  <si>
    <t>t.l</t>
  </si>
  <si>
    <t>(18% annual fertility ley, 82% crops - calculations at A44 below)</t>
  </si>
  <si>
    <t>MJ/ha</t>
  </si>
  <si>
    <t>(land factor)</t>
  </si>
  <si>
    <t>(pig factor)</t>
  </si>
  <si>
    <t xml:space="preserve">kg </t>
  </si>
  <si>
    <t>Methane - CO2 conversion</t>
  </si>
  <si>
    <t>Source: Paul &amp; Southgate (1978, p.95)</t>
  </si>
  <si>
    <t>PASTURE</t>
  </si>
  <si>
    <t>Source: Leuning (1999)</t>
  </si>
  <si>
    <t>Source: Muller &amp; Bartsch (1999)</t>
  </si>
  <si>
    <t>Source: DEFRA (Undated)</t>
  </si>
  <si>
    <t>Source: Kinsman et al (1995)</t>
  </si>
  <si>
    <t>Methane Emissions (kg):</t>
  </si>
  <si>
    <t>Cows/ha</t>
  </si>
  <si>
    <t>Conversion factor of C to CO2</t>
  </si>
  <si>
    <t>Woody forage</t>
  </si>
  <si>
    <t>Ewes/ha</t>
  </si>
  <si>
    <t>Lambs/ha</t>
  </si>
  <si>
    <t>Source: Cardell (1998)</t>
  </si>
  <si>
    <t>lamb factor</t>
  </si>
  <si>
    <t>Cattle &amp; Sheep Averaged</t>
  </si>
  <si>
    <t>Nut yields</t>
  </si>
  <si>
    <t>Yield/spacing source: Crawford (2008)</t>
  </si>
  <si>
    <t>Diesel energy</t>
  </si>
  <si>
    <t xml:space="preserve">kg  </t>
  </si>
  <si>
    <t>Agro-forestry</t>
  </si>
  <si>
    <t>Source: (Paul &amp; Southgate, 1978 p.103)</t>
  </si>
  <si>
    <t>Source: DEFRA (2003, p.1)</t>
  </si>
  <si>
    <t>Total sequestration</t>
  </si>
  <si>
    <t>Soil CO2 sequestration</t>
  </si>
  <si>
    <t>Soil C sequestration</t>
  </si>
  <si>
    <t>Biomass C sequestration</t>
  </si>
  <si>
    <t>Biomass CO2 sequestration</t>
  </si>
  <si>
    <t>Table 3: Fuel use (l diesel/ha)</t>
  </si>
  <si>
    <t>Table 4: Food energy in relation to carbon emissions</t>
  </si>
  <si>
    <t>MJ.t</t>
  </si>
  <si>
    <t>Table 5: Food energy in relation to fuel use (MJ/l)</t>
  </si>
  <si>
    <t>Proposed Land Use Mix for Vallis Veg (7 ha)</t>
  </si>
  <si>
    <t>Area (ha)</t>
  </si>
  <si>
    <t>Veg growing (no till, onsite)</t>
  </si>
  <si>
    <t>Veg growing (stock + tillage)</t>
  </si>
  <si>
    <t>Permanent green manure</t>
  </si>
  <si>
    <t>Temporary ley</t>
  </si>
  <si>
    <t>Can this land use mix feed Britain?</t>
  </si>
  <si>
    <t>ha rough grazing</t>
  </si>
  <si>
    <t>ha other + woodland</t>
  </si>
  <si>
    <t>Calorific requirements</t>
  </si>
  <si>
    <t>Total calorific requirement:</t>
  </si>
  <si>
    <t>Total energy requirement in MJ:</t>
  </si>
  <si>
    <t>Ratio of production to requirement:</t>
  </si>
  <si>
    <t>child/female calorific requirement</t>
  </si>
  <si>
    <t>male calorific requirement</t>
  </si>
  <si>
    <t>Number of farmers required</t>
  </si>
  <si>
    <t>Farmland</t>
  </si>
  <si>
    <t>Farmers/ha</t>
  </si>
  <si>
    <t>Rough grazing</t>
  </si>
  <si>
    <t>Other + woodland</t>
  </si>
  <si>
    <t>Proportion of working age population:</t>
  </si>
  <si>
    <t>Bangor University (2009). Centre for Alternative Land Use Technical Leaflets.</t>
  </si>
  <si>
    <t>http://www.calu.bangor.ac.uk/Technical%20leaflets/ (Accessed 04.10.09).</t>
  </si>
  <si>
    <r>
      <t xml:space="preserve">Bertilsson, G., Kirchmann, H. &amp; Bergstrom, L. (2008). ‘Energy analysis of organic &amp; conventional agricultural systems’ in Kirchmann, H. &amp; Bergstrom, L. (eds.) </t>
    </r>
    <r>
      <rPr>
        <i/>
        <sz val="12"/>
        <rFont val="Times New Roman"/>
        <family val="1"/>
      </rPr>
      <t>Organic Crop Production – Ambitions &amp; Limitations</t>
    </r>
    <r>
      <rPr>
        <sz val="12"/>
        <rFont val="Times New Roman"/>
        <family val="1"/>
      </rPr>
      <t>. Springer.</t>
    </r>
  </si>
  <si>
    <t>Bioenergy Feedstock Information Network (2008). Quick Reference List of Conversion Factors. http://bioenergy.ornl.gov/papers/misc/energy_conv.html (Accessed 04.10.09).</t>
  </si>
  <si>
    <r>
      <t xml:space="preserve">Cardell, K. (1998). </t>
    </r>
    <r>
      <rPr>
        <i/>
        <sz val="12"/>
        <rFont val="Times New Roman"/>
        <family val="1"/>
      </rPr>
      <t>Practical Sheep Keeping</t>
    </r>
    <r>
      <rPr>
        <sz val="12"/>
        <rFont val="Times New Roman"/>
        <family val="1"/>
      </rPr>
      <t>. Crowood Press.</t>
    </r>
  </si>
  <si>
    <r>
      <t xml:space="preserve">Coleman, E. (1995). </t>
    </r>
    <r>
      <rPr>
        <i/>
        <sz val="12"/>
        <rFont val="Times New Roman"/>
        <family val="1"/>
      </rPr>
      <t>The New Organic Grower</t>
    </r>
    <r>
      <rPr>
        <sz val="12"/>
        <rFont val="Times New Roman"/>
        <family val="1"/>
      </rPr>
      <t>. Chelsea Green.</t>
    </r>
  </si>
  <si>
    <r>
      <t xml:space="preserve">DEFRA (undated). </t>
    </r>
    <r>
      <rPr>
        <i/>
        <sz val="12"/>
        <rFont val="Times New Roman"/>
        <family val="1"/>
      </rPr>
      <t>The Science Challenges</t>
    </r>
    <r>
      <rPr>
        <sz val="12"/>
        <rFont val="Times New Roman"/>
        <family val="1"/>
      </rPr>
      <t>.</t>
    </r>
  </si>
  <si>
    <t>http://www.bpex.org.uk/downloads/298160/290845/The%20science%20challenges%20by%20Sue%20Popple.pdf (Accessed 04.10.09)</t>
  </si>
  <si>
    <r>
      <t xml:space="preserve">DEFRA (2000). </t>
    </r>
    <r>
      <rPr>
        <i/>
        <sz val="12"/>
        <rFont val="Times New Roman"/>
        <family val="1"/>
      </rPr>
      <t>Fertiliser Recommendations for Agricultural &amp; Horticultural Crops</t>
    </r>
    <r>
      <rPr>
        <sz val="12"/>
        <rFont val="Times New Roman"/>
        <family val="1"/>
      </rPr>
      <t>, TSO.</t>
    </r>
  </si>
  <si>
    <r>
      <t xml:space="preserve">DEFRA (2003). </t>
    </r>
    <r>
      <rPr>
        <i/>
        <sz val="12"/>
        <rFont val="Times New Roman"/>
        <family val="1"/>
      </rPr>
      <t>Development of economically &amp; environmentally sustainable methods of C sequestration in agricultural soils</t>
    </r>
    <r>
      <rPr>
        <sz val="12"/>
        <rFont val="Times New Roman"/>
        <family val="1"/>
      </rPr>
      <t>.</t>
    </r>
  </si>
  <si>
    <t>http://randd.defra.gov.uk/Default.aspx?Menu=Menu&amp;Module=More&amp;Location=None&amp;ProjectID=10946&amp;FromSearch=Y&amp;Publisher=1&amp;SearchText=sp0523&amp;SortString=ProjectCode&amp;SortOrder=Asc&amp;Paging=10#Description (Accessed 04.10.09)</t>
  </si>
  <si>
    <t>DEFRA (2009) Agricultural Quick Statistics https://statistics.defra.gov.uk/esg/quick/agri.asp (Accessed 04.10.09)</t>
  </si>
  <si>
    <r>
      <t xml:space="preserve">Hall, J. &amp; Tolhurst, I. (2006). </t>
    </r>
    <r>
      <rPr>
        <i/>
        <sz val="12"/>
        <rFont val="Times New Roman"/>
        <family val="1"/>
      </rPr>
      <t>Growing Green</t>
    </r>
    <r>
      <rPr>
        <sz val="12"/>
        <rFont val="Times New Roman"/>
        <family val="1"/>
      </rPr>
      <t>. Vegan Organic Network.</t>
    </r>
  </si>
  <si>
    <r>
      <t xml:space="preserve">Leuning, R. et al (1999). ‘Methane emission from free-ranging sheep’ </t>
    </r>
    <r>
      <rPr>
        <i/>
        <sz val="12"/>
        <rFont val="Times New Roman"/>
        <family val="1"/>
      </rPr>
      <t>Atmospheric Environment</t>
    </r>
    <r>
      <rPr>
        <sz val="12"/>
        <rFont val="Times New Roman"/>
        <family val="1"/>
      </rPr>
      <t>, Vol.22, No.9, pp.1357-1365.</t>
    </r>
  </si>
  <si>
    <t>Muller, B. &amp; Bartsch, U. (1999). ‘The modelling of anthropogenic methane emissions: methodology &amp; estimates.’ Oxford Institute for Energy Studies.</t>
  </si>
  <si>
    <t>http://www.oxfordenergy.org/pdfs/EV29.pdf (Accessed 04.10.09).</t>
  </si>
  <si>
    <r>
      <t xml:space="preserve">Paul, A. &amp; Southgate, D. (1978). </t>
    </r>
    <r>
      <rPr>
        <i/>
        <sz val="12"/>
        <rFont val="Times New Roman"/>
        <family val="1"/>
      </rPr>
      <t>The Composition of Foods</t>
    </r>
    <r>
      <rPr>
        <sz val="12"/>
        <rFont val="Times New Roman"/>
        <family val="1"/>
      </rPr>
      <t>. HMSO.</t>
    </r>
  </si>
  <si>
    <t>References</t>
  </si>
  <si>
    <r>
      <t xml:space="preserve">Crawford, M. (2008). </t>
    </r>
    <r>
      <rPr>
        <i/>
        <sz val="12"/>
        <rFont val="Times New Roman"/>
        <family val="1"/>
      </rPr>
      <t>Nut Crops</t>
    </r>
    <r>
      <rPr>
        <sz val="12"/>
        <rFont val="Times New Roman"/>
        <family val="1"/>
      </rPr>
      <t>. Agroforestry Research Trust (Unpub MS.)</t>
    </r>
  </si>
  <si>
    <t>Gross</t>
  </si>
  <si>
    <t>Net</t>
  </si>
  <si>
    <r>
      <t xml:space="preserve">Note: </t>
    </r>
    <r>
      <rPr>
        <sz val="10"/>
        <rFont val="Arial"/>
        <family val="2"/>
      </rPr>
      <t>calculations below are my assumptions about transporting green waste to &amp; from a local waste facility</t>
    </r>
  </si>
  <si>
    <t>I contacted Somerset Waste Partnership to try to get actual data, but have been unable to obtain it in a useful form to date</t>
  </si>
  <si>
    <t>LAND USE OPTIONS FOR SUSTAINABLE FARMING - DATA &amp; REFERENCES</t>
  </si>
  <si>
    <t>This spreadsheet contains the underlying data, calculations and references for my article 'Land Use Options for Sustainable Farming'.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</si>
</sst>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19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u.bangor.ac.uk/Technical%20leaflets/" TargetMode="External" /><Relationship Id="rId2" Type="http://schemas.openxmlformats.org/officeDocument/2006/relationships/hyperlink" Target="http://bioenergy.ornl.gov/papers/misc/energy_conv.html" TargetMode="External" /><Relationship Id="rId3" Type="http://schemas.openxmlformats.org/officeDocument/2006/relationships/hyperlink" Target="http://www.bpex.org.uk/downloads/298160/290845/The%20science%20challenges%20by%20Sue%20Popple.pdf" TargetMode="External" /><Relationship Id="rId4" Type="http://schemas.openxmlformats.org/officeDocument/2006/relationships/hyperlink" Target="http://randd.defra.gov.uk/Default.aspx?Menu=Menu&amp;Module=More&amp;Location=None&amp;ProjectID=10946&amp;FromSearch=Y&amp;Publisher=1&amp;SearchText=sp0523&amp;SortString=ProjectCode&amp;SortOrder=Asc&amp;Paging=10#Description" TargetMode="External" /><Relationship Id="rId5" Type="http://schemas.openxmlformats.org/officeDocument/2006/relationships/hyperlink" Target="https://statistics.defra.gov.uk/esg/quick/agri.asp" TargetMode="External" /><Relationship Id="rId6" Type="http://schemas.openxmlformats.org/officeDocument/2006/relationships/hyperlink" Target="http://www.oxfordenergy.org/pdfs/EV29.pdf" TargetMode="External" /><Relationship Id="rId7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0" bestFit="1" customWidth="1"/>
    <col min="4" max="4" width="12.421875" style="0" bestFit="1" customWidth="1"/>
    <col min="8" max="8" width="12.421875" style="0" bestFit="1" customWidth="1"/>
  </cols>
  <sheetData>
    <row r="1" ht="12.75">
      <c r="A1" s="2" t="s">
        <v>276</v>
      </c>
    </row>
    <row r="2" ht="12.75">
      <c r="A2" s="2"/>
    </row>
    <row r="3" ht="12.75">
      <c r="A3" s="1" t="s">
        <v>128</v>
      </c>
    </row>
    <row r="5" ht="12.75">
      <c r="A5" t="s">
        <v>277</v>
      </c>
    </row>
    <row r="6" ht="12.75">
      <c r="A6" t="s">
        <v>129</v>
      </c>
    </row>
    <row r="7" ht="12.75">
      <c r="A7" t="s">
        <v>140</v>
      </c>
    </row>
    <row r="8" ht="12.75">
      <c r="A8" t="s">
        <v>130</v>
      </c>
    </row>
    <row r="10" ht="12.75">
      <c r="A10" s="1" t="s">
        <v>131</v>
      </c>
    </row>
    <row r="11" spans="3:4" ht="12.75">
      <c r="C11" s="4" t="s">
        <v>272</v>
      </c>
      <c r="D11" s="4" t="s">
        <v>273</v>
      </c>
    </row>
    <row r="12" spans="1:4" ht="12.75">
      <c r="A12" t="s">
        <v>132</v>
      </c>
      <c r="C12">
        <f>Conventional!C65</f>
        <v>38233.6</v>
      </c>
      <c r="D12">
        <f>Conventional!C66</f>
        <v>30486.104</v>
      </c>
    </row>
    <row r="13" spans="1:4" ht="12.75">
      <c r="A13" t="s">
        <v>133</v>
      </c>
      <c r="C13">
        <f>'Org offsite'!C3</f>
        <v>34259</v>
      </c>
      <c r="D13">
        <f>'Org offsite'!C34</f>
        <v>15142.2</v>
      </c>
    </row>
    <row r="14" spans="1:4" ht="12.75">
      <c r="A14" t="s">
        <v>134</v>
      </c>
      <c r="C14">
        <f>'Agro-forestry'!C3</f>
        <v>31018.112</v>
      </c>
      <c r="D14">
        <f>'Agro-forestry'!C4</f>
        <v>30108.112</v>
      </c>
    </row>
    <row r="15" spans="1:4" ht="12.75">
      <c r="A15" t="s">
        <v>135</v>
      </c>
      <c r="C15">
        <f>Nuts!B27</f>
        <v>28974.492000000002</v>
      </c>
      <c r="D15">
        <f>Nuts!C41</f>
        <v>28064.492000000002</v>
      </c>
    </row>
    <row r="16" spans="1:4" ht="12.75">
      <c r="A16" t="s">
        <v>136</v>
      </c>
      <c r="C16">
        <f>'Org onsite+stock'!C13</f>
        <v>28537.364999999998</v>
      </c>
      <c r="D16">
        <f>'Org onsite+stock'!C37</f>
        <v>27445.511</v>
      </c>
    </row>
    <row r="17" spans="1:4" ht="12.75">
      <c r="A17" t="s">
        <v>137</v>
      </c>
      <c r="C17">
        <f>'Org onsite'!C20</f>
        <v>17129.5</v>
      </c>
      <c r="D17">
        <f>'Org onsite'!C21</f>
        <v>15629.966</v>
      </c>
    </row>
    <row r="18" spans="1:4" ht="12.75">
      <c r="A18" t="s">
        <v>138</v>
      </c>
      <c r="C18">
        <f>Pasture!C86</f>
        <v>2043.62</v>
      </c>
      <c r="D18">
        <f>Pasture!C77</f>
        <v>2919.24</v>
      </c>
    </row>
    <row r="19" spans="1:4" ht="12.75">
      <c r="A19" t="s">
        <v>21</v>
      </c>
      <c r="C19">
        <f>Woodland!C5</f>
        <v>698.5</v>
      </c>
      <c r="D19">
        <f>Woodland!C15</f>
        <v>698.5</v>
      </c>
    </row>
    <row r="21" ht="12.75">
      <c r="A21" s="1" t="s">
        <v>139</v>
      </c>
    </row>
    <row r="22" ht="12.75">
      <c r="A22" s="1"/>
    </row>
    <row r="23" spans="1:3" ht="12.75">
      <c r="A23" t="s">
        <v>21</v>
      </c>
      <c r="C23">
        <f>Woodland!C16</f>
        <v>-12.85234</v>
      </c>
    </row>
    <row r="24" spans="1:3" ht="12.75">
      <c r="A24" t="s">
        <v>135</v>
      </c>
      <c r="C24">
        <f>Nuts!C42</f>
        <v>-5.6964</v>
      </c>
    </row>
    <row r="25" spans="1:3" ht="12.75">
      <c r="A25" t="s">
        <v>134</v>
      </c>
      <c r="C25">
        <f>'Agro-forestry'!C5</f>
        <v>-3.7176000000000005</v>
      </c>
    </row>
    <row r="26" spans="1:3" ht="12.75">
      <c r="A26" t="s">
        <v>138</v>
      </c>
      <c r="C26">
        <f>Pasture!C88</f>
        <v>-2.3858304</v>
      </c>
    </row>
    <row r="27" spans="1:3" ht="12.75">
      <c r="A27" t="s">
        <v>137</v>
      </c>
      <c r="C27">
        <f>'Org onsite'!C22</f>
        <v>-0.6045947494505495</v>
      </c>
    </row>
    <row r="28" spans="1:3" ht="12.75">
      <c r="A28" t="s">
        <v>136</v>
      </c>
      <c r="C28">
        <f>'Org onsite+stock'!C38</f>
        <v>-0.2895367494505494</v>
      </c>
    </row>
    <row r="29" spans="1:3" ht="12.75">
      <c r="A29" t="s">
        <v>133</v>
      </c>
      <c r="C29">
        <f>'Org offsite'!C35</f>
        <v>0.6397200000000001</v>
      </c>
    </row>
    <row r="30" spans="1:3" ht="12.75">
      <c r="A30" t="s">
        <v>132</v>
      </c>
      <c r="C30">
        <f>Conventional!C67</f>
        <v>1.3158815736263736</v>
      </c>
    </row>
    <row r="32" ht="12.75">
      <c r="A32" s="1" t="s">
        <v>228</v>
      </c>
    </row>
    <row r="34" spans="1:3" ht="12.75">
      <c r="A34" t="s">
        <v>21</v>
      </c>
      <c r="C34">
        <f>Woodland!C17</f>
        <v>0</v>
      </c>
    </row>
    <row r="35" spans="1:3" ht="12.75">
      <c r="A35" t="s">
        <v>134</v>
      </c>
      <c r="C35">
        <f>'Agro-forestry'!C6</f>
        <v>0</v>
      </c>
    </row>
    <row r="36" spans="1:3" ht="12.75">
      <c r="A36" t="s">
        <v>138</v>
      </c>
      <c r="C36">
        <f>Pasture!C38</f>
        <v>0</v>
      </c>
    </row>
    <row r="37" spans="1:3" ht="12.75">
      <c r="A37" t="s">
        <v>135</v>
      </c>
      <c r="C37">
        <f>Nuts!C43</f>
        <v>25</v>
      </c>
    </row>
    <row r="38" spans="1:3" ht="12.75">
      <c r="A38" t="s">
        <v>136</v>
      </c>
      <c r="C38">
        <f>'Org onsite+stock'!C39</f>
        <v>29.995989010989014</v>
      </c>
    </row>
    <row r="39" spans="1:3" ht="12.75">
      <c r="A39" t="s">
        <v>137</v>
      </c>
      <c r="C39">
        <f>'Org onsite'!C23</f>
        <v>41.19598901098901</v>
      </c>
    </row>
    <row r="40" spans="1:3" ht="12.75">
      <c r="A40" t="s">
        <v>132</v>
      </c>
      <c r="C40">
        <f>Conventional!C68</f>
        <v>212.8432967032967</v>
      </c>
    </row>
    <row r="41" spans="1:3" ht="12.75">
      <c r="A41" t="s">
        <v>133</v>
      </c>
      <c r="C41">
        <f>'Org offsite'!C36</f>
        <v>525.1868131868132</v>
      </c>
    </row>
    <row r="43" ht="12.75">
      <c r="A43" s="1" t="s">
        <v>229</v>
      </c>
    </row>
    <row r="45" spans="1:4" ht="12.75">
      <c r="A45" t="s">
        <v>135</v>
      </c>
      <c r="C45">
        <f>Nuts!C44</f>
        <v>-165050.2962288</v>
      </c>
      <c r="D45" t="s">
        <v>230</v>
      </c>
    </row>
    <row r="46" spans="1:4" ht="12.75">
      <c r="A46" t="s">
        <v>134</v>
      </c>
      <c r="C46">
        <f>'Agro-forestry'!C7</f>
        <v>-115312.93317120001</v>
      </c>
      <c r="D46" t="s">
        <v>230</v>
      </c>
    </row>
    <row r="47" spans="1:4" ht="12.75">
      <c r="A47" t="s">
        <v>137</v>
      </c>
      <c r="C47">
        <f>'Org onsite'!C24</f>
        <v>-10356.405760713187</v>
      </c>
      <c r="D47" t="s">
        <v>230</v>
      </c>
    </row>
    <row r="48" spans="1:4" ht="12.75">
      <c r="A48" t="s">
        <v>21</v>
      </c>
      <c r="C48">
        <f>Woodland!C18</f>
        <v>-8977.35949</v>
      </c>
      <c r="D48" t="s">
        <v>230</v>
      </c>
    </row>
    <row r="49" spans="1:4" ht="12.75">
      <c r="A49" t="s">
        <v>136</v>
      </c>
      <c r="C49">
        <f>'Org onsite+stock'!C40</f>
        <v>-8262.615899983877</v>
      </c>
      <c r="D49" t="s">
        <v>230</v>
      </c>
    </row>
    <row r="50" spans="1:4" ht="12.75">
      <c r="A50" t="s">
        <v>138</v>
      </c>
      <c r="C50">
        <f>Pasture!C90</f>
        <v>-4875.730722048</v>
      </c>
      <c r="D50" t="s">
        <v>230</v>
      </c>
    </row>
    <row r="52" spans="1:4" ht="12.75">
      <c r="A52" t="s">
        <v>133</v>
      </c>
      <c r="C52">
        <f>'Org offsite'!C37</f>
        <v>53553.116988682545</v>
      </c>
      <c r="D52" t="s">
        <v>155</v>
      </c>
    </row>
    <row r="53" spans="1:4" ht="12.75">
      <c r="A53" t="s">
        <v>132</v>
      </c>
      <c r="C53">
        <f>Conventional!C69</f>
        <v>29055.50223234291</v>
      </c>
      <c r="D53" t="s">
        <v>155</v>
      </c>
    </row>
    <row r="55" ht="12.75">
      <c r="A55" s="1" t="s">
        <v>231</v>
      </c>
    </row>
    <row r="57" spans="1:3" ht="12.75">
      <c r="A57" t="s">
        <v>134</v>
      </c>
      <c r="C57" t="e">
        <f>'Agro-forestry'!C8</f>
        <v>#DIV/0!</v>
      </c>
    </row>
    <row r="58" spans="1:3" ht="12.75">
      <c r="A58" t="s">
        <v>138</v>
      </c>
      <c r="C58" t="e">
        <f>Pasture!C91</f>
        <v>#DIV/0!</v>
      </c>
    </row>
    <row r="59" spans="1:3" ht="12.75">
      <c r="A59" t="s">
        <v>21</v>
      </c>
      <c r="C59" t="e">
        <f>Woodland!C19</f>
        <v>#DIV/0!</v>
      </c>
    </row>
    <row r="60" spans="1:3" ht="12.75">
      <c r="A60" t="s">
        <v>135</v>
      </c>
      <c r="C60">
        <f>Nuts!C45</f>
        <v>1158.9796800000001</v>
      </c>
    </row>
    <row r="61" spans="1:3" ht="12.75">
      <c r="A61" t="s">
        <v>136</v>
      </c>
      <c r="C61">
        <f>'Org onsite+stock'!C41</f>
        <v>951.3726981812586</v>
      </c>
    </row>
    <row r="62" spans="1:3" ht="12.75">
      <c r="A62" t="s">
        <v>137</v>
      </c>
      <c r="C62">
        <f>'Org onsite'!C25</f>
        <v>415.8050434334933</v>
      </c>
    </row>
    <row r="63" spans="1:3" ht="12.75">
      <c r="A63" t="s">
        <v>132</v>
      </c>
      <c r="C63">
        <f>Conventional!C70</f>
        <v>179.63262452797653</v>
      </c>
    </row>
    <row r="64" spans="1:3" ht="12.75">
      <c r="A64" t="s">
        <v>133</v>
      </c>
      <c r="C64">
        <f>'Org offsite'!C38</f>
        <v>65.23202628054905</v>
      </c>
    </row>
    <row r="68" ht="12.75">
      <c r="A68" s="1" t="s">
        <v>232</v>
      </c>
    </row>
    <row r="69" ht="12.75">
      <c r="A69" s="1"/>
    </row>
    <row r="70" spans="2:5" ht="12.75">
      <c r="B70" t="s">
        <v>233</v>
      </c>
      <c r="C70" t="s">
        <v>103</v>
      </c>
      <c r="D70" t="s">
        <v>22</v>
      </c>
      <c r="E70" t="s">
        <v>104</v>
      </c>
    </row>
    <row r="71" spans="1:5" ht="12.75">
      <c r="A71" t="s">
        <v>21</v>
      </c>
      <c r="B71">
        <v>1.4</v>
      </c>
      <c r="C71">
        <f>C19*B71</f>
        <v>977.9</v>
      </c>
      <c r="D71" s="7">
        <f>C23*B71</f>
        <v>-17.993275999999998</v>
      </c>
      <c r="E71" s="6">
        <f>C34*B71</f>
        <v>0</v>
      </c>
    </row>
    <row r="72" spans="1:5" ht="12.75">
      <c r="A72" t="s">
        <v>105</v>
      </c>
      <c r="B72">
        <v>2.1</v>
      </c>
      <c r="C72" s="6">
        <f>C14*B72</f>
        <v>65138.035200000006</v>
      </c>
      <c r="D72">
        <f>C24*B72</f>
        <v>-11.962439999999999</v>
      </c>
      <c r="E72">
        <f>C35*B72</f>
        <v>0</v>
      </c>
    </row>
    <row r="73" spans="1:5" ht="12.75">
      <c r="A73" t="s">
        <v>234</v>
      </c>
      <c r="B73">
        <v>0.92</v>
      </c>
      <c r="C73" s="6">
        <f>'Org onsite'!C3*Home!B73</f>
        <v>31518.280000000002</v>
      </c>
      <c r="D73">
        <v>0</v>
      </c>
      <c r="E73">
        <f>C39*(B73+B75)</f>
        <v>57.67438461538461</v>
      </c>
    </row>
    <row r="74" spans="1:5" ht="12.75">
      <c r="A74" t="s">
        <v>235</v>
      </c>
      <c r="B74">
        <v>1.33</v>
      </c>
      <c r="C74" s="6">
        <f>('Org onsite+stock'!C3+'Org onsite+stock'!C6+'Org onsite+stock'!C7+'Org onsite+stock'!C11)*B74</f>
        <v>46156.300050000005</v>
      </c>
      <c r="D74" s="7">
        <f>C28*(B74+B76)</f>
        <v>-0.5356429864835165</v>
      </c>
      <c r="E74" s="6">
        <f>C38*(B74+B76)</f>
        <v>55.492579670329675</v>
      </c>
    </row>
    <row r="75" spans="1:4" ht="12.75">
      <c r="A75" t="s">
        <v>236</v>
      </c>
      <c r="B75">
        <v>0.48</v>
      </c>
      <c r="C75">
        <v>0</v>
      </c>
      <c r="D75">
        <f>Home!C27*B75</f>
        <v>-0.29020547973626376</v>
      </c>
    </row>
    <row r="76" spans="1:3" ht="12.75">
      <c r="A76" t="s">
        <v>237</v>
      </c>
      <c r="B76">
        <v>0.52</v>
      </c>
      <c r="C76">
        <f>Pasture!B8*0.5*B76</f>
        <v>303.68</v>
      </c>
    </row>
    <row r="77" spans="1:4" ht="12.75">
      <c r="A77" t="s">
        <v>106</v>
      </c>
      <c r="B77">
        <v>0.25</v>
      </c>
      <c r="C77">
        <v>0</v>
      </c>
      <c r="D77">
        <v>0</v>
      </c>
    </row>
    <row r="78" spans="2:5" ht="12.75">
      <c r="B78">
        <f>SUM(B71:B77)</f>
        <v>7</v>
      </c>
      <c r="C78">
        <f>SUM(C71:C77)</f>
        <v>144094.19525</v>
      </c>
      <c r="D78">
        <f>SUM(D71:D77)</f>
        <v>-30.781564466219777</v>
      </c>
      <c r="E78">
        <f>SUM(E71:E77)</f>
        <v>113.16696428571429</v>
      </c>
    </row>
    <row r="79" spans="1:5" ht="12.75">
      <c r="A79" t="s">
        <v>107</v>
      </c>
      <c r="C79">
        <f>C78/B78</f>
        <v>20584.885035714284</v>
      </c>
      <c r="D79">
        <f>D78/B78</f>
        <v>-4.397366352317111</v>
      </c>
      <c r="E79">
        <f>E78/B78</f>
        <v>16.16670918367347</v>
      </c>
    </row>
    <row r="82" ht="12.75">
      <c r="A82" s="1" t="s">
        <v>238</v>
      </c>
    </row>
    <row r="84" spans="1:10" ht="12.75">
      <c r="A84">
        <v>12112000</v>
      </c>
      <c r="B84" t="s">
        <v>108</v>
      </c>
      <c r="F84">
        <f>C79</f>
        <v>20584.885035714284</v>
      </c>
      <c r="G84" t="s">
        <v>196</v>
      </c>
      <c r="H84">
        <f>A84*F84</f>
        <v>249324127552.5714</v>
      </c>
      <c r="J84">
        <f>A84*F84</f>
        <v>249324127552.5714</v>
      </c>
    </row>
    <row r="85" spans="1:10" ht="12.75">
      <c r="A85">
        <v>4359000</v>
      </c>
      <c r="B85" t="s">
        <v>239</v>
      </c>
      <c r="F85" s="6">
        <f>Pasture!C86</f>
        <v>2043.62</v>
      </c>
      <c r="G85" t="s">
        <v>196</v>
      </c>
      <c r="H85">
        <f>A85*F85</f>
        <v>8908139580</v>
      </c>
      <c r="J85">
        <f>A85*F85</f>
        <v>8908139580</v>
      </c>
    </row>
    <row r="86" spans="1:10" ht="12.75">
      <c r="A86">
        <v>993000</v>
      </c>
      <c r="B86" t="s">
        <v>240</v>
      </c>
      <c r="D86" t="s">
        <v>141</v>
      </c>
      <c r="F86" s="6">
        <f>Woodland!C14</f>
        <v>698.5</v>
      </c>
      <c r="G86" t="s">
        <v>196</v>
      </c>
      <c r="H86">
        <f>A86*F86</f>
        <v>693610500</v>
      </c>
      <c r="J86">
        <f>A86*F86</f>
        <v>693610500</v>
      </c>
    </row>
    <row r="87" spans="8:13" ht="12.75">
      <c r="H87">
        <f>SUM(H84:H86)</f>
        <v>258925877632.5714</v>
      </c>
      <c r="J87">
        <f>SUM(H83:H86)</f>
        <v>258925877632.5714</v>
      </c>
      <c r="K87">
        <f>J87*1000000</f>
        <v>2.5892587763257142E+17</v>
      </c>
      <c r="L87">
        <v>1000000000000000</v>
      </c>
      <c r="M87">
        <f>K87/L87</f>
        <v>258.9258776325714</v>
      </c>
    </row>
    <row r="88" ht="12.75">
      <c r="A88" t="s">
        <v>241</v>
      </c>
    </row>
    <row r="89" spans="1:2" ht="12.75">
      <c r="A89">
        <v>61000000</v>
      </c>
      <c r="B89" t="s">
        <v>109</v>
      </c>
    </row>
    <row r="90" spans="1:7" ht="12.75">
      <c r="A90">
        <f>A89*0.2</f>
        <v>12200000</v>
      </c>
      <c r="B90" t="s">
        <v>110</v>
      </c>
      <c r="D90">
        <f>A90*E90*F90</f>
        <v>8906000000000</v>
      </c>
      <c r="E90">
        <v>2000</v>
      </c>
      <c r="F90">
        <v>365</v>
      </c>
      <c r="G90" t="s">
        <v>245</v>
      </c>
    </row>
    <row r="91" spans="1:7" ht="12.75">
      <c r="A91">
        <v>24400000</v>
      </c>
      <c r="B91" t="s">
        <v>111</v>
      </c>
      <c r="D91">
        <f>A91*E91*F90</f>
        <v>24046200000000</v>
      </c>
      <c r="E91">
        <v>2700</v>
      </c>
      <c r="G91" t="s">
        <v>246</v>
      </c>
    </row>
    <row r="92" spans="1:4" ht="12.75">
      <c r="A92">
        <v>24400000</v>
      </c>
      <c r="B92" t="s">
        <v>112</v>
      </c>
      <c r="D92">
        <f>A92*E90*F90</f>
        <v>17812000000000</v>
      </c>
    </row>
    <row r="93" spans="1:4" ht="12.75">
      <c r="A93" t="s">
        <v>242</v>
      </c>
      <c r="D93">
        <f>SUM(D90:D92)</f>
        <v>50764200000000</v>
      </c>
    </row>
    <row r="94" spans="1:5" ht="12.75">
      <c r="A94" t="s">
        <v>243</v>
      </c>
      <c r="D94">
        <f>D93*E94</f>
        <v>212539552560</v>
      </c>
      <c r="E94">
        <v>0.0041868</v>
      </c>
    </row>
    <row r="96" spans="1:4" ht="12.75">
      <c r="A96" t="s">
        <v>244</v>
      </c>
      <c r="D96">
        <f>H87/D94</f>
        <v>1.2182479661496255</v>
      </c>
    </row>
    <row r="98" ht="12.75">
      <c r="A98" s="1" t="s">
        <v>247</v>
      </c>
    </row>
    <row r="99" spans="1:3" ht="12.75">
      <c r="A99" s="1"/>
      <c r="C99" t="s">
        <v>249</v>
      </c>
    </row>
    <row r="100" spans="2:6" ht="12.75">
      <c r="B100" t="s">
        <v>248</v>
      </c>
      <c r="C100">
        <v>0.429</v>
      </c>
      <c r="D100">
        <f>A84*C100</f>
        <v>5196048</v>
      </c>
      <c r="F100">
        <f>A84*0.3</f>
        <v>3633600</v>
      </c>
    </row>
    <row r="101" spans="2:4" ht="12.75">
      <c r="B101" t="s">
        <v>250</v>
      </c>
      <c r="C101">
        <v>0.04</v>
      </c>
      <c r="D101">
        <f>A85*C101</f>
        <v>174360</v>
      </c>
    </row>
    <row r="102" spans="2:4" ht="12.75">
      <c r="B102" t="s">
        <v>251</v>
      </c>
      <c r="C102">
        <v>0.04</v>
      </c>
      <c r="D102">
        <f>A86*C102</f>
        <v>39720</v>
      </c>
    </row>
    <row r="103" ht="12.75">
      <c r="D103">
        <f>SUM(D100:D102)</f>
        <v>5410128</v>
      </c>
    </row>
    <row r="104" spans="1:4" ht="12.75">
      <c r="A104" t="s">
        <v>252</v>
      </c>
      <c r="D104">
        <f>D103/(A89*0.6)</f>
        <v>0.14781770491803278</v>
      </c>
    </row>
  </sheetData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270</v>
      </c>
    </row>
    <row r="3" ht="15.75">
      <c r="A3" s="8" t="s">
        <v>253</v>
      </c>
    </row>
    <row r="4" ht="12.75">
      <c r="A4" s="9" t="s">
        <v>254</v>
      </c>
    </row>
    <row r="5" ht="15.75">
      <c r="A5" s="8"/>
    </row>
    <row r="6" ht="15.75">
      <c r="A6" s="8" t="s">
        <v>255</v>
      </c>
    </row>
    <row r="7" ht="15.75">
      <c r="A7" s="8"/>
    </row>
    <row r="8" ht="12.75">
      <c r="A8" s="9" t="s">
        <v>256</v>
      </c>
    </row>
    <row r="9" ht="15.75">
      <c r="A9" s="8"/>
    </row>
    <row r="10" ht="15.75">
      <c r="A10" s="8" t="s">
        <v>257</v>
      </c>
    </row>
    <row r="11" ht="15.75">
      <c r="A11" s="8"/>
    </row>
    <row r="12" ht="15.75">
      <c r="A12" s="8" t="s">
        <v>258</v>
      </c>
    </row>
    <row r="13" ht="15.75">
      <c r="A13" s="8"/>
    </row>
    <row r="14" ht="15.75">
      <c r="A14" s="8" t="s">
        <v>271</v>
      </c>
    </row>
    <row r="15" ht="15.75">
      <c r="A15" s="8"/>
    </row>
    <row r="16" ht="15.75">
      <c r="A16" s="8" t="s">
        <v>259</v>
      </c>
    </row>
    <row r="17" ht="12.75">
      <c r="A17" s="9" t="s">
        <v>260</v>
      </c>
    </row>
    <row r="18" ht="15.75">
      <c r="A18" s="8"/>
    </row>
    <row r="19" ht="15.75">
      <c r="A19" s="8" t="s">
        <v>261</v>
      </c>
    </row>
    <row r="20" ht="15.75">
      <c r="A20" s="8"/>
    </row>
    <row r="21" ht="15.75">
      <c r="A21" s="8" t="s">
        <v>262</v>
      </c>
    </row>
    <row r="22" ht="12.75">
      <c r="A22" s="9" t="s">
        <v>263</v>
      </c>
    </row>
    <row r="23" ht="15.75">
      <c r="A23" s="8"/>
    </row>
    <row r="24" ht="12.75">
      <c r="A24" s="9" t="s">
        <v>264</v>
      </c>
    </row>
    <row r="25" ht="15.75">
      <c r="A25" s="8"/>
    </row>
    <row r="26" ht="15.75">
      <c r="A26" s="8" t="s">
        <v>265</v>
      </c>
    </row>
    <row r="27" ht="15.75">
      <c r="A27" s="8"/>
    </row>
    <row r="28" ht="15.75">
      <c r="A28" s="8" t="s">
        <v>266</v>
      </c>
    </row>
    <row r="29" ht="15.75">
      <c r="A29" s="8"/>
    </row>
    <row r="30" ht="15.75">
      <c r="A30" s="8" t="s">
        <v>267</v>
      </c>
    </row>
    <row r="31" ht="12.75">
      <c r="A31" s="9" t="s">
        <v>268</v>
      </c>
    </row>
    <row r="32" ht="15.75">
      <c r="A32" s="8"/>
    </row>
    <row r="33" ht="15.75">
      <c r="A33" s="8" t="s">
        <v>269</v>
      </c>
    </row>
  </sheetData>
  <hyperlinks>
    <hyperlink ref="A4" r:id="rId1" display="http://www.calu.bangor.ac.uk/Technical leaflets/"/>
    <hyperlink ref="A8" r:id="rId2" display="http://bioenergy.ornl.gov/papers/misc/energy_conv.html"/>
    <hyperlink ref="A17" r:id="rId3" display="http://www.bpex.org.uk/downloads/298160/290845/The science challenges by Sue Popple.pdf"/>
    <hyperlink ref="A22" r:id="rId4" display="http://randd.defra.gov.uk/Default.aspx?Menu=Menu&amp;Module=More&amp;Location=None&amp;ProjectID=10946&amp;FromSearch=Y&amp;Publisher=1&amp;SearchText=sp0523&amp;SortString=ProjectCode&amp;SortOrder=Asc&amp;Paging=10#Description"/>
    <hyperlink ref="A24" r:id="rId5" display="https://statistics.defra.gov.uk/esg/quick/agri.asp"/>
    <hyperlink ref="A31" r:id="rId6" display="http://www.oxfordenergy.org/pdfs/EV29.pdf"/>
  </hyperlinks>
  <printOptions/>
  <pageMargins left="0.75" right="0.75" top="1" bottom="1" header="0.5" footer="0.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23</v>
      </c>
    </row>
    <row r="2" ht="12.75">
      <c r="A2" s="2"/>
    </row>
    <row r="3" ht="12.75">
      <c r="A3" s="3" t="s">
        <v>143</v>
      </c>
    </row>
    <row r="5" ht="12.75">
      <c r="A5" s="4" t="s">
        <v>148</v>
      </c>
    </row>
    <row r="6" ht="12.75">
      <c r="A6" t="s">
        <v>3</v>
      </c>
    </row>
    <row r="7" spans="1:5" ht="12.75">
      <c r="A7" t="s">
        <v>4</v>
      </c>
      <c r="C7">
        <v>21.4</v>
      </c>
      <c r="D7" t="s">
        <v>0</v>
      </c>
      <c r="E7" t="s">
        <v>141</v>
      </c>
    </row>
    <row r="8" spans="1:5" ht="12.75">
      <c r="A8" t="s">
        <v>5</v>
      </c>
      <c r="C8">
        <v>3720</v>
      </c>
      <c r="D8" t="s">
        <v>1</v>
      </c>
      <c r="E8" t="s">
        <v>142</v>
      </c>
    </row>
    <row r="9" spans="1:4" ht="12.75">
      <c r="A9" t="s">
        <v>6</v>
      </c>
      <c r="C9">
        <f>C7*C8</f>
        <v>79608</v>
      </c>
      <c r="D9" t="s">
        <v>2</v>
      </c>
    </row>
    <row r="10" ht="12.75">
      <c r="A10" t="s">
        <v>144</v>
      </c>
    </row>
    <row r="11" spans="1:5" ht="12.75">
      <c r="A11" t="s">
        <v>4</v>
      </c>
      <c r="C11">
        <v>9.5</v>
      </c>
      <c r="D11" t="s">
        <v>0</v>
      </c>
      <c r="E11" t="s">
        <v>146</v>
      </c>
    </row>
    <row r="12" spans="1:5" ht="12.75">
      <c r="A12" t="s">
        <v>5</v>
      </c>
      <c r="C12">
        <v>960</v>
      </c>
      <c r="D12" t="s">
        <v>1</v>
      </c>
      <c r="E12" t="s">
        <v>142</v>
      </c>
    </row>
    <row r="13" spans="1:3" ht="12.75">
      <c r="A13" t="s">
        <v>6</v>
      </c>
      <c r="C13">
        <f>C11*C12</f>
        <v>9120</v>
      </c>
    </row>
    <row r="14" ht="12.75">
      <c r="A14" t="s">
        <v>145</v>
      </c>
    </row>
    <row r="15" spans="1:5" ht="12.75">
      <c r="A15" t="s">
        <v>4</v>
      </c>
      <c r="C15">
        <v>25</v>
      </c>
      <c r="D15" t="s">
        <v>0</v>
      </c>
      <c r="E15" t="s">
        <v>146</v>
      </c>
    </row>
    <row r="16" spans="1:5" ht="12.75">
      <c r="A16" t="s">
        <v>5</v>
      </c>
      <c r="C16">
        <v>880</v>
      </c>
      <c r="D16" t="s">
        <v>1</v>
      </c>
      <c r="E16" t="s">
        <v>142</v>
      </c>
    </row>
    <row r="17" spans="1:4" ht="12.75">
      <c r="A17" t="s">
        <v>6</v>
      </c>
      <c r="C17">
        <f>C15*C16</f>
        <v>22000</v>
      </c>
      <c r="D17" t="s">
        <v>2</v>
      </c>
    </row>
    <row r="18" ht="12.75">
      <c r="A18" t="s">
        <v>7</v>
      </c>
    </row>
    <row r="19" spans="1:4" ht="12.75">
      <c r="A19" t="s">
        <v>4</v>
      </c>
      <c r="C19">
        <v>16</v>
      </c>
      <c r="D19" t="s">
        <v>0</v>
      </c>
    </row>
    <row r="20" spans="1:5" ht="12.75">
      <c r="A20" t="s">
        <v>5</v>
      </c>
      <c r="C20">
        <v>510</v>
      </c>
      <c r="D20" t="s">
        <v>1</v>
      </c>
      <c r="E20" t="s">
        <v>142</v>
      </c>
    </row>
    <row r="21" spans="1:4" ht="12.75">
      <c r="A21" t="s">
        <v>6</v>
      </c>
      <c r="C21">
        <f>C19*C20</f>
        <v>8160</v>
      </c>
      <c r="D21" t="s">
        <v>2</v>
      </c>
    </row>
    <row r="22" ht="12.75">
      <c r="A22" t="s">
        <v>8</v>
      </c>
    </row>
    <row r="23" spans="1:5" ht="12.75">
      <c r="A23" t="s">
        <v>4</v>
      </c>
      <c r="C23">
        <v>20</v>
      </c>
      <c r="D23" t="s">
        <v>0</v>
      </c>
      <c r="E23" t="s">
        <v>146</v>
      </c>
    </row>
    <row r="24" spans="1:5" ht="12.75">
      <c r="A24" t="s">
        <v>5</v>
      </c>
      <c r="C24">
        <v>1280</v>
      </c>
      <c r="D24" t="s">
        <v>1</v>
      </c>
      <c r="E24" t="s">
        <v>142</v>
      </c>
    </row>
    <row r="25" spans="1:4" ht="12.75">
      <c r="A25" t="s">
        <v>6</v>
      </c>
      <c r="C25">
        <f>C23*C24</f>
        <v>25600</v>
      </c>
      <c r="D25" t="s">
        <v>2</v>
      </c>
    </row>
    <row r="26" ht="12.75">
      <c r="A26" t="s">
        <v>9</v>
      </c>
    </row>
    <row r="27" spans="1:5" ht="12.75">
      <c r="A27" t="s">
        <v>4</v>
      </c>
      <c r="C27">
        <v>20</v>
      </c>
      <c r="D27" t="s">
        <v>0</v>
      </c>
      <c r="E27" t="s">
        <v>146</v>
      </c>
    </row>
    <row r="28" spans="1:5" ht="12.75">
      <c r="A28" t="s">
        <v>5</v>
      </c>
      <c r="C28">
        <v>2100</v>
      </c>
      <c r="D28" t="s">
        <v>1</v>
      </c>
      <c r="E28" t="s">
        <v>142</v>
      </c>
    </row>
    <row r="29" spans="1:4" ht="12.75">
      <c r="A29" t="s">
        <v>6</v>
      </c>
      <c r="C29">
        <f>C27*C28</f>
        <v>42000</v>
      </c>
      <c r="D29" t="s">
        <v>2</v>
      </c>
    </row>
    <row r="30" ht="12.75">
      <c r="A30" t="s">
        <v>10</v>
      </c>
    </row>
    <row r="31" spans="1:4" ht="12.75">
      <c r="A31" t="s">
        <v>4</v>
      </c>
      <c r="C31">
        <v>20</v>
      </c>
      <c r="D31" t="s">
        <v>0</v>
      </c>
    </row>
    <row r="32" spans="1:5" ht="12.75">
      <c r="A32" t="s">
        <v>5</v>
      </c>
      <c r="C32">
        <v>690</v>
      </c>
      <c r="D32" t="s">
        <v>1</v>
      </c>
      <c r="E32" t="s">
        <v>142</v>
      </c>
    </row>
    <row r="33" spans="1:4" ht="12.75">
      <c r="A33" t="s">
        <v>6</v>
      </c>
      <c r="C33">
        <f>C31*C32</f>
        <v>13800</v>
      </c>
      <c r="D33" t="s">
        <v>2</v>
      </c>
    </row>
    <row r="35" spans="1:5" ht="12.75">
      <c r="A35" t="s">
        <v>11</v>
      </c>
      <c r="C35">
        <f>(C9+C17+C21+C25+C29+C33)/E35</f>
        <v>38233.6</v>
      </c>
      <c r="D35" t="s">
        <v>81</v>
      </c>
      <c r="E35">
        <v>5</v>
      </c>
    </row>
    <row r="37" ht="12.75">
      <c r="A37" s="4" t="s">
        <v>149</v>
      </c>
    </row>
    <row r="38" spans="1:5" ht="12.75">
      <c r="A38" t="s">
        <v>12</v>
      </c>
      <c r="C38">
        <v>1040.06</v>
      </c>
      <c r="D38">
        <v>1</v>
      </c>
      <c r="E38">
        <f aca="true" t="shared" si="0" ref="E38:E44">C38*D38</f>
        <v>1040.06</v>
      </c>
    </row>
    <row r="39" spans="1:5" ht="12.75">
      <c r="A39" t="s">
        <v>13</v>
      </c>
      <c r="C39">
        <v>2436.71</v>
      </c>
      <c r="D39">
        <v>1</v>
      </c>
      <c r="E39">
        <f t="shared" si="0"/>
        <v>2436.71</v>
      </c>
    </row>
    <row r="40" spans="1:5" ht="12.75">
      <c r="A40" t="s">
        <v>14</v>
      </c>
      <c r="C40">
        <v>145.55</v>
      </c>
      <c r="D40">
        <v>0.8</v>
      </c>
      <c r="E40">
        <f t="shared" si="0"/>
        <v>116.44000000000001</v>
      </c>
    </row>
    <row r="41" spans="1:5" ht="12.75">
      <c r="A41" t="s">
        <v>15</v>
      </c>
      <c r="C41">
        <v>271.69</v>
      </c>
      <c r="D41">
        <v>0.8</v>
      </c>
      <c r="E41">
        <f t="shared" si="0"/>
        <v>217.352</v>
      </c>
    </row>
    <row r="42" spans="1:5" ht="12.75">
      <c r="A42" t="s">
        <v>151</v>
      </c>
      <c r="C42">
        <v>509.4</v>
      </c>
      <c r="D42">
        <v>1</v>
      </c>
      <c r="E42">
        <f t="shared" si="0"/>
        <v>509.4</v>
      </c>
    </row>
    <row r="43" spans="1:5" ht="12.75">
      <c r="A43" t="s">
        <v>16</v>
      </c>
      <c r="C43">
        <v>2037.67</v>
      </c>
      <c r="D43">
        <v>0.2</v>
      </c>
      <c r="E43">
        <f t="shared" si="0"/>
        <v>407.53400000000005</v>
      </c>
    </row>
    <row r="44" spans="1:5" ht="12.75">
      <c r="A44" t="s">
        <v>33</v>
      </c>
      <c r="C44">
        <v>500</v>
      </c>
      <c r="D44">
        <v>1</v>
      </c>
      <c r="E44">
        <f t="shared" si="0"/>
        <v>500</v>
      </c>
    </row>
    <row r="45" spans="5:6" ht="12.75">
      <c r="E45">
        <f>SUM(E38:E44)</f>
        <v>5227.495999999999</v>
      </c>
      <c r="F45" t="s">
        <v>147</v>
      </c>
    </row>
    <row r="46" ht="12.75">
      <c r="A46" s="4" t="s">
        <v>150</v>
      </c>
    </row>
    <row r="47" spans="1:6" ht="12.75">
      <c r="A47" t="s">
        <v>17</v>
      </c>
      <c r="C47">
        <v>60</v>
      </c>
      <c r="D47" t="s">
        <v>18</v>
      </c>
      <c r="F47" t="s">
        <v>152</v>
      </c>
    </row>
    <row r="48" spans="3:6" ht="12.75">
      <c r="C48">
        <v>42</v>
      </c>
      <c r="D48" t="s">
        <v>19</v>
      </c>
      <c r="F48" t="s">
        <v>153</v>
      </c>
    </row>
    <row r="49" spans="3:4" ht="12.75">
      <c r="C49">
        <f>C47*C48</f>
        <v>2520</v>
      </c>
      <c r="D49" t="s">
        <v>2</v>
      </c>
    </row>
    <row r="51" spans="1:3" ht="12.75">
      <c r="A51" t="s">
        <v>20</v>
      </c>
      <c r="C51">
        <f>E45+C49</f>
        <v>7747.495999999999</v>
      </c>
    </row>
    <row r="53" spans="1:3" ht="12.75">
      <c r="A53" s="1" t="s">
        <v>31</v>
      </c>
      <c r="C53">
        <f>C35-C51</f>
        <v>30486.104</v>
      </c>
    </row>
    <row r="56" ht="12.75">
      <c r="A56" s="4" t="s">
        <v>22</v>
      </c>
    </row>
    <row r="58" spans="1:6" ht="12.75">
      <c r="A58" t="s">
        <v>24</v>
      </c>
      <c r="C58">
        <f>E45/E58</f>
        <v>143.61252747252746</v>
      </c>
      <c r="D58" t="s">
        <v>25</v>
      </c>
      <c r="E58">
        <v>36.4</v>
      </c>
      <c r="F58" s="3" t="s">
        <v>154</v>
      </c>
    </row>
    <row r="59" spans="1:6" ht="12.75">
      <c r="A59" t="s">
        <v>27</v>
      </c>
      <c r="C59">
        <f>C58*E59</f>
        <v>384.8815736263736</v>
      </c>
      <c r="D59" t="s">
        <v>26</v>
      </c>
      <c r="E59">
        <v>2.68</v>
      </c>
      <c r="F59" s="3" t="s">
        <v>154</v>
      </c>
    </row>
    <row r="60" spans="1:6" ht="12.75">
      <c r="A60" t="s">
        <v>41</v>
      </c>
      <c r="C60">
        <f>C47*E60</f>
        <v>216</v>
      </c>
      <c r="D60" t="s">
        <v>42</v>
      </c>
      <c r="E60">
        <v>3.6</v>
      </c>
      <c r="F60" t="s">
        <v>153</v>
      </c>
    </row>
    <row r="61" spans="1:6" ht="12.75">
      <c r="A61" t="s">
        <v>28</v>
      </c>
      <c r="C61">
        <v>715</v>
      </c>
      <c r="D61" t="s">
        <v>26</v>
      </c>
      <c r="F61" t="s">
        <v>147</v>
      </c>
    </row>
    <row r="62" spans="1:3" ht="12.75">
      <c r="A62" t="s">
        <v>29</v>
      </c>
      <c r="C62">
        <f>C59+C60+C61</f>
        <v>1315.8815736263737</v>
      </c>
    </row>
    <row r="65" spans="1:4" ht="12.75">
      <c r="A65" t="s">
        <v>30</v>
      </c>
      <c r="C65">
        <f>C35</f>
        <v>38233.6</v>
      </c>
      <c r="D65" t="s">
        <v>81</v>
      </c>
    </row>
    <row r="66" spans="1:4" ht="12.75">
      <c r="A66" t="s">
        <v>31</v>
      </c>
      <c r="C66">
        <f>C53</f>
        <v>30486.104</v>
      </c>
      <c r="D66" t="s">
        <v>81</v>
      </c>
    </row>
    <row r="67" spans="1:5" ht="12.75">
      <c r="A67" t="s">
        <v>32</v>
      </c>
      <c r="C67">
        <f>C62/E67</f>
        <v>1.3158815736263736</v>
      </c>
      <c r="D67" t="s">
        <v>47</v>
      </c>
      <c r="E67">
        <v>1000</v>
      </c>
    </row>
    <row r="68" spans="1:4" ht="12.75">
      <c r="A68" t="s">
        <v>43</v>
      </c>
      <c r="C68">
        <f>C58+(C49/E58)</f>
        <v>212.8432967032967</v>
      </c>
      <c r="D68" t="s">
        <v>25</v>
      </c>
    </row>
    <row r="69" spans="1:4" ht="12.75">
      <c r="A69" t="s">
        <v>44</v>
      </c>
      <c r="C69">
        <f>C65/C67</f>
        <v>29055.50223234291</v>
      </c>
      <c r="D69" t="s">
        <v>155</v>
      </c>
    </row>
    <row r="70" spans="1:4" ht="12.75">
      <c r="A70" t="s">
        <v>45</v>
      </c>
      <c r="C70">
        <f>C65/C68</f>
        <v>179.63262452797653</v>
      </c>
      <c r="D70" t="s">
        <v>156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48</v>
      </c>
    </row>
    <row r="3" spans="1:8" ht="12.75">
      <c r="A3" t="s">
        <v>49</v>
      </c>
      <c r="C3">
        <v>34259</v>
      </c>
      <c r="D3" t="s">
        <v>2</v>
      </c>
      <c r="H3" t="s">
        <v>166</v>
      </c>
    </row>
    <row r="5" ht="12.75">
      <c r="A5" s="10" t="s">
        <v>274</v>
      </c>
    </row>
    <row r="6" ht="12.75">
      <c r="A6" s="3" t="s">
        <v>275</v>
      </c>
    </row>
    <row r="8" spans="1:8" ht="12.75">
      <c r="A8" t="s">
        <v>50</v>
      </c>
      <c r="C8">
        <v>100</v>
      </c>
      <c r="D8" t="s">
        <v>0</v>
      </c>
      <c r="H8" t="s">
        <v>157</v>
      </c>
    </row>
    <row r="9" spans="1:3" ht="12.75">
      <c r="A9" t="s">
        <v>51</v>
      </c>
      <c r="C9">
        <v>1.6</v>
      </c>
    </row>
    <row r="10" spans="1:8" ht="12.75">
      <c r="A10" t="s">
        <v>52</v>
      </c>
      <c r="C10">
        <f>(C8*C9*E10)/F10</f>
        <v>1600</v>
      </c>
      <c r="E10">
        <v>0.5</v>
      </c>
      <c r="F10">
        <v>0.05</v>
      </c>
      <c r="H10" t="s">
        <v>158</v>
      </c>
    </row>
    <row r="11" spans="1:8" ht="12.75">
      <c r="A11" t="s">
        <v>53</v>
      </c>
      <c r="C11">
        <f>(C8*C9*E11)/F11</f>
        <v>16</v>
      </c>
      <c r="E11">
        <v>0.5</v>
      </c>
      <c r="F11">
        <v>5</v>
      </c>
      <c r="H11" t="s">
        <v>159</v>
      </c>
    </row>
    <row r="12" spans="1:8" ht="12.75">
      <c r="A12" t="s">
        <v>54</v>
      </c>
      <c r="C12">
        <f>C10*E12</f>
        <v>4800</v>
      </c>
      <c r="E12">
        <v>3</v>
      </c>
      <c r="H12" t="s">
        <v>160</v>
      </c>
    </row>
    <row r="13" spans="1:8" ht="12.75">
      <c r="A13" t="s">
        <v>55</v>
      </c>
      <c r="C13">
        <f>C12*E13</f>
        <v>3600</v>
      </c>
      <c r="E13">
        <v>0.75</v>
      </c>
      <c r="H13" t="s">
        <v>161</v>
      </c>
    </row>
    <row r="14" spans="1:8" ht="12.75">
      <c r="A14" t="s">
        <v>67</v>
      </c>
      <c r="C14">
        <f>C13*E14</f>
        <v>288</v>
      </c>
      <c r="D14" t="s">
        <v>25</v>
      </c>
      <c r="E14">
        <v>0.08</v>
      </c>
      <c r="H14" t="s">
        <v>162</v>
      </c>
    </row>
    <row r="15" spans="1:8" ht="12.75">
      <c r="A15" t="s">
        <v>56</v>
      </c>
      <c r="C15">
        <f>C11*E15</f>
        <v>80</v>
      </c>
      <c r="E15">
        <v>5</v>
      </c>
      <c r="H15" t="s">
        <v>163</v>
      </c>
    </row>
    <row r="16" spans="1:8" ht="12.75">
      <c r="A16" t="s">
        <v>57</v>
      </c>
      <c r="C16">
        <f>C11*E16</f>
        <v>400</v>
      </c>
      <c r="E16">
        <v>25</v>
      </c>
      <c r="H16" t="s">
        <v>164</v>
      </c>
    </row>
    <row r="17" spans="1:8" ht="12.75">
      <c r="A17" t="s">
        <v>66</v>
      </c>
      <c r="C17">
        <f>((C8*C9*G17)/F17)*E17</f>
        <v>100</v>
      </c>
      <c r="E17">
        <v>25</v>
      </c>
      <c r="F17">
        <v>20</v>
      </c>
      <c r="G17">
        <v>0.5</v>
      </c>
      <c r="H17" t="s">
        <v>165</v>
      </c>
    </row>
    <row r="18" spans="1:8" ht="12.75">
      <c r="A18" t="s">
        <v>58</v>
      </c>
      <c r="C18">
        <f>((C8*C9*G18)/F18)*E18</f>
        <v>100</v>
      </c>
      <c r="E18">
        <v>25</v>
      </c>
      <c r="F18">
        <v>20</v>
      </c>
      <c r="G18">
        <v>0.5</v>
      </c>
      <c r="H18" t="s">
        <v>168</v>
      </c>
    </row>
    <row r="19" spans="1:3" ht="12.75">
      <c r="A19" t="s">
        <v>59</v>
      </c>
      <c r="C19">
        <f>SUM(C15:C18)</f>
        <v>680</v>
      </c>
    </row>
    <row r="20" spans="1:8" ht="12.75">
      <c r="A20" t="s">
        <v>60</v>
      </c>
      <c r="C20">
        <f>C19*E20</f>
        <v>272</v>
      </c>
      <c r="E20">
        <v>0.4</v>
      </c>
      <c r="H20" t="s">
        <v>167</v>
      </c>
    </row>
    <row r="21" spans="1:5" ht="12.75">
      <c r="A21" t="s">
        <v>61</v>
      </c>
      <c r="C21">
        <f>C13*E21</f>
        <v>540</v>
      </c>
      <c r="D21" t="s">
        <v>26</v>
      </c>
      <c r="E21">
        <v>0.15</v>
      </c>
    </row>
    <row r="22" spans="1:8" ht="12.75">
      <c r="A22" t="s">
        <v>62</v>
      </c>
      <c r="C22">
        <f>C20*E22</f>
        <v>728.96</v>
      </c>
      <c r="D22" t="s">
        <v>26</v>
      </c>
      <c r="E22">
        <v>2.68</v>
      </c>
      <c r="H22" s="3" t="s">
        <v>154</v>
      </c>
    </row>
    <row r="23" spans="1:5" ht="12.75">
      <c r="A23" t="s">
        <v>63</v>
      </c>
      <c r="C23">
        <f>C8*C9*E23</f>
        <v>32</v>
      </c>
      <c r="E23">
        <v>0.2</v>
      </c>
    </row>
    <row r="24" spans="1:8" ht="12.75">
      <c r="A24" t="s">
        <v>64</v>
      </c>
      <c r="C24">
        <f>C23*E24</f>
        <v>85.76</v>
      </c>
      <c r="E24">
        <v>2.68</v>
      </c>
      <c r="H24" s="3" t="s">
        <v>154</v>
      </c>
    </row>
    <row r="25" spans="1:3" ht="12.75">
      <c r="A25" t="s">
        <v>65</v>
      </c>
      <c r="C25">
        <f>C21+C22+C24</f>
        <v>1354.72</v>
      </c>
    </row>
    <row r="26" spans="1:8" ht="12.75">
      <c r="A26" t="s">
        <v>169</v>
      </c>
      <c r="C26">
        <f>C20*E26</f>
        <v>9900.8</v>
      </c>
      <c r="D26" t="s">
        <v>25</v>
      </c>
      <c r="E26">
        <v>36.4</v>
      </c>
      <c r="F26" t="s">
        <v>156</v>
      </c>
      <c r="H26" s="3" t="s">
        <v>154</v>
      </c>
    </row>
    <row r="27" spans="1:8" ht="12.75">
      <c r="A27" t="s">
        <v>170</v>
      </c>
      <c r="C27">
        <f>C14*E27</f>
        <v>9216</v>
      </c>
      <c r="D27" t="s">
        <v>25</v>
      </c>
      <c r="E27">
        <v>32</v>
      </c>
      <c r="F27" t="s">
        <v>156</v>
      </c>
      <c r="H27" s="3" t="s">
        <v>154</v>
      </c>
    </row>
    <row r="29" ht="12.75">
      <c r="A29" t="s">
        <v>71</v>
      </c>
    </row>
    <row r="30" spans="1:8" ht="12.75">
      <c r="A30" t="s">
        <v>72</v>
      </c>
      <c r="C30">
        <v>715</v>
      </c>
      <c r="D30" t="s">
        <v>26</v>
      </c>
      <c r="H30" t="s">
        <v>176</v>
      </c>
    </row>
    <row r="31" spans="1:3" ht="12.75">
      <c r="A31" t="s">
        <v>29</v>
      </c>
      <c r="C31">
        <f>C25-C30</f>
        <v>639.72</v>
      </c>
    </row>
    <row r="33" spans="1:4" ht="12.75">
      <c r="A33" t="s">
        <v>30</v>
      </c>
      <c r="C33">
        <f>C3</f>
        <v>34259</v>
      </c>
      <c r="D33" t="s">
        <v>81</v>
      </c>
    </row>
    <row r="34" spans="1:4" ht="12.75">
      <c r="A34" t="s">
        <v>31</v>
      </c>
      <c r="C34">
        <f>C3-(C26+C27)</f>
        <v>15142.2</v>
      </c>
      <c r="D34" t="s">
        <v>81</v>
      </c>
    </row>
    <row r="35" spans="1:5" ht="12.75">
      <c r="A35" t="s">
        <v>32</v>
      </c>
      <c r="C35">
        <f>C31/E35</f>
        <v>0.6397200000000001</v>
      </c>
      <c r="D35" t="s">
        <v>193</v>
      </c>
      <c r="E35">
        <v>1000</v>
      </c>
    </row>
    <row r="36" spans="1:4" ht="12.75">
      <c r="A36" t="s">
        <v>43</v>
      </c>
      <c r="C36">
        <f>(C26+C27)/E26</f>
        <v>525.1868131868132</v>
      </c>
      <c r="D36" t="s">
        <v>25</v>
      </c>
    </row>
    <row r="37" spans="1:4" ht="12.75">
      <c r="A37" t="s">
        <v>44</v>
      </c>
      <c r="C37">
        <f>C33/C35</f>
        <v>53553.116988682545</v>
      </c>
      <c r="D37" t="s">
        <v>194</v>
      </c>
    </row>
    <row r="38" spans="1:4" ht="12.75">
      <c r="A38" t="s">
        <v>45</v>
      </c>
      <c r="C38">
        <f>C33/C36</f>
        <v>65.23202628054905</v>
      </c>
      <c r="D38" t="s">
        <v>156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191</v>
      </c>
    </row>
    <row r="3" spans="1:6" ht="12.75">
      <c r="A3" t="s">
        <v>49</v>
      </c>
      <c r="C3">
        <v>34259</v>
      </c>
      <c r="D3" t="s">
        <v>2</v>
      </c>
      <c r="F3" t="s">
        <v>166</v>
      </c>
    </row>
    <row r="4" spans="1:6" ht="12.75">
      <c r="A4" t="s">
        <v>69</v>
      </c>
      <c r="C4">
        <f>C3*E4</f>
        <v>17129.5</v>
      </c>
      <c r="D4" t="s">
        <v>2</v>
      </c>
      <c r="E4">
        <v>0.5</v>
      </c>
      <c r="F4" t="s">
        <v>171</v>
      </c>
    </row>
    <row r="6" spans="1:6" ht="12.75">
      <c r="A6" t="s">
        <v>173</v>
      </c>
      <c r="C6">
        <v>60</v>
      </c>
      <c r="D6" t="s">
        <v>68</v>
      </c>
      <c r="F6" t="s">
        <v>166</v>
      </c>
    </row>
    <row r="7" spans="1:5" ht="12.75">
      <c r="A7" t="s">
        <v>174</v>
      </c>
      <c r="C7">
        <f>C6*E7</f>
        <v>30</v>
      </c>
      <c r="E7">
        <v>0.5</v>
      </c>
    </row>
    <row r="8" spans="1:5" ht="12.75">
      <c r="A8" t="s">
        <v>127</v>
      </c>
      <c r="C8">
        <f>(Conventional!C43*E8)/E10</f>
        <v>11.195989010989013</v>
      </c>
      <c r="E8">
        <v>0.2</v>
      </c>
    </row>
    <row r="9" spans="1:3" ht="12.75">
      <c r="A9" t="s">
        <v>175</v>
      </c>
      <c r="C9">
        <f>C7+C8</f>
        <v>41.19598901098901</v>
      </c>
    </row>
    <row r="10" spans="1:6" ht="12.75">
      <c r="A10" t="s">
        <v>83</v>
      </c>
      <c r="C10">
        <f>C9*E10</f>
        <v>1499.5339999999999</v>
      </c>
      <c r="D10" t="s">
        <v>37</v>
      </c>
      <c r="E10">
        <v>36.4</v>
      </c>
      <c r="F10" s="3" t="s">
        <v>154</v>
      </c>
    </row>
    <row r="12" spans="1:3" ht="12.75">
      <c r="A12" t="s">
        <v>70</v>
      </c>
      <c r="C12">
        <f>C4-C10</f>
        <v>15629.966</v>
      </c>
    </row>
    <row r="15" spans="1:6" ht="12.75">
      <c r="A15" t="s">
        <v>27</v>
      </c>
      <c r="C15">
        <f>C9*E15</f>
        <v>110.40525054945056</v>
      </c>
      <c r="D15" t="s">
        <v>26</v>
      </c>
      <c r="E15">
        <v>2.68</v>
      </c>
      <c r="F15" s="3" t="s">
        <v>154</v>
      </c>
    </row>
    <row r="16" ht="12.75">
      <c r="A16" t="s">
        <v>71</v>
      </c>
    </row>
    <row r="17" spans="1:6" ht="12.75">
      <c r="A17" t="s">
        <v>72</v>
      </c>
      <c r="C17">
        <v>715</v>
      </c>
      <c r="D17" t="s">
        <v>26</v>
      </c>
      <c r="F17" t="s">
        <v>176</v>
      </c>
    </row>
    <row r="18" spans="1:3" ht="12.75">
      <c r="A18" t="s">
        <v>29</v>
      </c>
      <c r="C18">
        <f>C15-C17</f>
        <v>-604.5947494505494</v>
      </c>
    </row>
    <row r="20" spans="1:4" ht="12.75">
      <c r="A20" t="s">
        <v>30</v>
      </c>
      <c r="C20">
        <f>C4</f>
        <v>17129.5</v>
      </c>
      <c r="D20" t="s">
        <v>81</v>
      </c>
    </row>
    <row r="21" spans="1:4" ht="12.75">
      <c r="A21" t="s">
        <v>31</v>
      </c>
      <c r="C21">
        <f>C12</f>
        <v>15629.966</v>
      </c>
      <c r="D21" t="s">
        <v>81</v>
      </c>
    </row>
    <row r="22" spans="1:5" ht="12.75">
      <c r="A22" t="s">
        <v>32</v>
      </c>
      <c r="C22">
        <f>C18/E22</f>
        <v>-0.6045947494505495</v>
      </c>
      <c r="D22" t="s">
        <v>193</v>
      </c>
      <c r="E22">
        <v>1000</v>
      </c>
    </row>
    <row r="23" spans="1:4" ht="12.75">
      <c r="A23" t="s">
        <v>43</v>
      </c>
      <c r="C23">
        <f>C9</f>
        <v>41.19598901098901</v>
      </c>
      <c r="D23" t="s">
        <v>25</v>
      </c>
    </row>
    <row r="24" spans="1:4" ht="12.75">
      <c r="A24" t="s">
        <v>73</v>
      </c>
      <c r="C24">
        <f>C20*C22</f>
        <v>-10356.405760713187</v>
      </c>
      <c r="D24" t="s">
        <v>194</v>
      </c>
    </row>
    <row r="25" spans="1:4" ht="12.75">
      <c r="A25" t="s">
        <v>45</v>
      </c>
      <c r="C25">
        <f>C20/C23</f>
        <v>415.8050434334933</v>
      </c>
      <c r="D25" t="s">
        <v>156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192</v>
      </c>
    </row>
    <row r="3" spans="1:6" ht="12.75">
      <c r="A3" t="s">
        <v>122</v>
      </c>
      <c r="C3">
        <v>34259</v>
      </c>
      <c r="D3" t="s">
        <v>81</v>
      </c>
      <c r="F3" t="s">
        <v>166</v>
      </c>
    </row>
    <row r="4" spans="1:6" ht="12.75">
      <c r="A4" t="s">
        <v>123</v>
      </c>
      <c r="C4">
        <f>C3*E4</f>
        <v>28092.379999999997</v>
      </c>
      <c r="D4" t="s">
        <v>196</v>
      </c>
      <c r="E4">
        <v>0.82</v>
      </c>
      <c r="F4" s="5" t="s">
        <v>195</v>
      </c>
    </row>
    <row r="5" ht="12.75">
      <c r="A5" t="s">
        <v>177</v>
      </c>
    </row>
    <row r="6" spans="1:4" ht="12.75">
      <c r="A6" t="s">
        <v>76</v>
      </c>
      <c r="C6">
        <f>Pasture!C35*'Org onsite+stock'!D48</f>
        <v>105.11999999999999</v>
      </c>
      <c r="D6" t="s">
        <v>81</v>
      </c>
    </row>
    <row r="7" spans="1:4" ht="12.75">
      <c r="A7" t="s">
        <v>114</v>
      </c>
      <c r="C7">
        <f>Woodland!C5*'Org onsite+stock'!D46</f>
        <v>174.625</v>
      </c>
      <c r="D7" t="s">
        <v>81</v>
      </c>
    </row>
    <row r="8" spans="1:7" ht="12.75">
      <c r="A8" t="s">
        <v>187</v>
      </c>
      <c r="C8">
        <v>450</v>
      </c>
      <c r="D8" t="s">
        <v>124</v>
      </c>
      <c r="G8" s="5"/>
    </row>
    <row r="9" spans="3:7" ht="12.75">
      <c r="C9">
        <v>0.06</v>
      </c>
      <c r="D9" t="s">
        <v>188</v>
      </c>
      <c r="G9" s="5"/>
    </row>
    <row r="10" spans="3:7" ht="12.75">
      <c r="C10">
        <v>6120</v>
      </c>
      <c r="D10" t="s">
        <v>189</v>
      </c>
      <c r="F10" t="s">
        <v>142</v>
      </c>
      <c r="G10" s="5"/>
    </row>
    <row r="11" spans="1:7" ht="12.75">
      <c r="A11" t="s">
        <v>190</v>
      </c>
      <c r="C11">
        <f>(C8*C9*C10)/E11</f>
        <v>165.24</v>
      </c>
      <c r="D11" t="s">
        <v>81</v>
      </c>
      <c r="E11">
        <v>1000</v>
      </c>
      <c r="G11" s="5"/>
    </row>
    <row r="12" ht="12.75">
      <c r="G12" s="5"/>
    </row>
    <row r="13" spans="1:4" ht="12.75">
      <c r="A13" t="s">
        <v>125</v>
      </c>
      <c r="C13">
        <f>C4+C6+C7+C11</f>
        <v>28537.364999999998</v>
      </c>
      <c r="D13" t="s">
        <v>81</v>
      </c>
    </row>
    <row r="15" spans="1:4" ht="12.75">
      <c r="A15" t="s">
        <v>178</v>
      </c>
      <c r="C15">
        <v>30</v>
      </c>
      <c r="D15" t="s">
        <v>75</v>
      </c>
    </row>
    <row r="16" spans="1:4" ht="12.75">
      <c r="A16" t="s">
        <v>179</v>
      </c>
      <c r="C16">
        <v>67</v>
      </c>
      <c r="D16" t="s">
        <v>75</v>
      </c>
    </row>
    <row r="17" spans="1:5" ht="12.75">
      <c r="A17" t="s">
        <v>180</v>
      </c>
      <c r="C17">
        <f>C15*E17</f>
        <v>5.3999999999999995</v>
      </c>
      <c r="D17" t="s">
        <v>25</v>
      </c>
      <c r="E17">
        <v>0.18</v>
      </c>
    </row>
    <row r="18" spans="1:8" ht="12.75">
      <c r="A18" t="s">
        <v>181</v>
      </c>
      <c r="C18">
        <f>C16*E18*G18</f>
        <v>13.4</v>
      </c>
      <c r="D18" t="s">
        <v>25</v>
      </c>
      <c r="E18">
        <v>0.4</v>
      </c>
      <c r="F18" t="s">
        <v>197</v>
      </c>
      <c r="G18">
        <v>0.5</v>
      </c>
      <c r="H18" t="s">
        <v>198</v>
      </c>
    </row>
    <row r="19" spans="1:4" ht="12.75">
      <c r="A19" t="s">
        <v>175</v>
      </c>
      <c r="C19">
        <f>C17+C18</f>
        <v>18.8</v>
      </c>
      <c r="D19" t="s">
        <v>25</v>
      </c>
    </row>
    <row r="21" spans="1:4" ht="12.75">
      <c r="A21" t="s">
        <v>172</v>
      </c>
      <c r="C21">
        <f>C19</f>
        <v>18.8</v>
      </c>
      <c r="D21" t="s">
        <v>75</v>
      </c>
    </row>
    <row r="22" spans="1:5" ht="12.75">
      <c r="A22" t="s">
        <v>127</v>
      </c>
      <c r="C22">
        <f>(Conventional!C43*E22)/E24</f>
        <v>11.195989010989013</v>
      </c>
      <c r="D22" t="s">
        <v>25</v>
      </c>
      <c r="E22">
        <v>0.2</v>
      </c>
    </row>
    <row r="23" spans="1:4" ht="12.75">
      <c r="A23" t="s">
        <v>175</v>
      </c>
      <c r="C23">
        <f>SUM(C21:C22)</f>
        <v>29.995989010989014</v>
      </c>
      <c r="D23" t="s">
        <v>25</v>
      </c>
    </row>
    <row r="24" spans="1:6" ht="12.75">
      <c r="A24" t="s">
        <v>169</v>
      </c>
      <c r="C24">
        <f>C23*E24</f>
        <v>1091.854</v>
      </c>
      <c r="D24" t="s">
        <v>81</v>
      </c>
      <c r="E24">
        <v>36.4</v>
      </c>
      <c r="F24" s="3" t="s">
        <v>154</v>
      </c>
    </row>
    <row r="25" spans="1:4" ht="12.75">
      <c r="A25" t="s">
        <v>70</v>
      </c>
      <c r="C25">
        <f>C13-C24</f>
        <v>27445.511</v>
      </c>
      <c r="D25" t="s">
        <v>81</v>
      </c>
    </row>
    <row r="28" spans="1:6" ht="12.75">
      <c r="A28" t="s">
        <v>27</v>
      </c>
      <c r="C28">
        <f>C23*E28</f>
        <v>80.38925054945057</v>
      </c>
      <c r="D28" t="s">
        <v>199</v>
      </c>
      <c r="E28">
        <v>2.68</v>
      </c>
      <c r="F28" s="3" t="s">
        <v>154</v>
      </c>
    </row>
    <row r="29" spans="1:6" ht="12.75">
      <c r="A29" t="s">
        <v>182</v>
      </c>
      <c r="C29">
        <v>715</v>
      </c>
      <c r="D29" t="s">
        <v>18</v>
      </c>
      <c r="F29" t="s">
        <v>176</v>
      </c>
    </row>
    <row r="30" spans="1:5" ht="12.75">
      <c r="A30" t="s">
        <v>183</v>
      </c>
      <c r="C30">
        <f>C29*E30</f>
        <v>286</v>
      </c>
      <c r="D30" t="s">
        <v>199</v>
      </c>
      <c r="E30">
        <v>0.4</v>
      </c>
    </row>
    <row r="31" spans="1:5" ht="12.75">
      <c r="A31" t="s">
        <v>184</v>
      </c>
      <c r="C31">
        <f>C29*E31</f>
        <v>-300.3</v>
      </c>
      <c r="D31" t="s">
        <v>35</v>
      </c>
      <c r="E31">
        <v>-0.42</v>
      </c>
    </row>
    <row r="32" spans="1:6" ht="12.75">
      <c r="A32" t="s">
        <v>185</v>
      </c>
      <c r="C32">
        <f>E32*F32</f>
        <v>-667.2059999999999</v>
      </c>
      <c r="D32" t="s">
        <v>35</v>
      </c>
      <c r="E32">
        <v>0.18</v>
      </c>
      <c r="F32">
        <f>Pasture!B31</f>
        <v>-3706.7</v>
      </c>
    </row>
    <row r="33" spans="1:7" ht="12.75">
      <c r="A33" t="s">
        <v>126</v>
      </c>
      <c r="C33">
        <f>E33*G33</f>
        <v>311.5799999999999</v>
      </c>
      <c r="D33" t="s">
        <v>186</v>
      </c>
      <c r="E33">
        <f>Pasture!D22*B48*D48</f>
        <v>14.837142857142855</v>
      </c>
      <c r="F33" t="s">
        <v>200</v>
      </c>
      <c r="G33">
        <v>21</v>
      </c>
    </row>
    <row r="34" spans="1:4" ht="12.75">
      <c r="A34" t="s">
        <v>29</v>
      </c>
      <c r="C34">
        <f>C28+C30+C33+C31+C32</f>
        <v>-289.5367494505494</v>
      </c>
      <c r="D34" t="s">
        <v>35</v>
      </c>
    </row>
    <row r="36" spans="1:4" ht="12.75">
      <c r="A36" t="s">
        <v>30</v>
      </c>
      <c r="C36">
        <f>C13</f>
        <v>28537.364999999998</v>
      </c>
      <c r="D36" t="s">
        <v>81</v>
      </c>
    </row>
    <row r="37" spans="1:4" ht="12.75">
      <c r="A37" t="s">
        <v>31</v>
      </c>
      <c r="C37">
        <f>C25</f>
        <v>27445.511</v>
      </c>
      <c r="D37" t="s">
        <v>81</v>
      </c>
    </row>
    <row r="38" spans="1:5" ht="12.75">
      <c r="A38" t="s">
        <v>32</v>
      </c>
      <c r="C38">
        <f>C34/E38</f>
        <v>-0.2895367494505494</v>
      </c>
      <c r="D38" t="s">
        <v>193</v>
      </c>
      <c r="E38">
        <v>1000</v>
      </c>
    </row>
    <row r="39" spans="1:4" ht="12.75">
      <c r="A39" t="s">
        <v>43</v>
      </c>
      <c r="C39">
        <f>C23</f>
        <v>29.995989010989014</v>
      </c>
      <c r="D39" t="s">
        <v>25</v>
      </c>
    </row>
    <row r="40" spans="1:4" ht="12.75">
      <c r="A40" t="s">
        <v>73</v>
      </c>
      <c r="C40">
        <f>C36*C38</f>
        <v>-8262.615899983877</v>
      </c>
      <c r="D40" t="s">
        <v>194</v>
      </c>
    </row>
    <row r="41" spans="1:4" ht="12.75">
      <c r="A41" t="s">
        <v>45</v>
      </c>
      <c r="C41">
        <f>C36/C39</f>
        <v>951.3726981812586</v>
      </c>
      <c r="D41" t="s">
        <v>156</v>
      </c>
    </row>
    <row r="44" ht="12.75">
      <c r="A44" t="s">
        <v>113</v>
      </c>
    </row>
    <row r="45" spans="2:5" ht="12.75">
      <c r="B45" t="s">
        <v>115</v>
      </c>
      <c r="C45" t="s">
        <v>116</v>
      </c>
      <c r="D45" t="s">
        <v>117</v>
      </c>
      <c r="E45" t="s">
        <v>118</v>
      </c>
    </row>
    <row r="46" spans="1:5" ht="12.75">
      <c r="A46" t="s">
        <v>114</v>
      </c>
      <c r="B46">
        <v>2</v>
      </c>
      <c r="C46">
        <v>10</v>
      </c>
      <c r="D46">
        <v>0.25</v>
      </c>
      <c r="E46">
        <f>B46*C46*D46</f>
        <v>5</v>
      </c>
    </row>
    <row r="47" spans="1:5" ht="12.75">
      <c r="A47" t="s">
        <v>119</v>
      </c>
      <c r="B47">
        <v>4</v>
      </c>
      <c r="C47">
        <v>0.68</v>
      </c>
      <c r="D47">
        <v>1</v>
      </c>
      <c r="E47">
        <f>B47*C47*D47</f>
        <v>2.72</v>
      </c>
    </row>
    <row r="48" spans="1:5" ht="12.75">
      <c r="A48" t="s">
        <v>120</v>
      </c>
      <c r="B48">
        <v>3</v>
      </c>
      <c r="C48">
        <v>47</v>
      </c>
      <c r="D48">
        <v>0.09</v>
      </c>
      <c r="E48">
        <f>B48*C48*D48</f>
        <v>12.69</v>
      </c>
    </row>
    <row r="49" spans="1:5" ht="12.75">
      <c r="A49" t="s">
        <v>121</v>
      </c>
      <c r="E49">
        <v>39</v>
      </c>
    </row>
    <row r="50" spans="5:6" ht="12.75">
      <c r="E50">
        <f>SUM(E46:E49)</f>
        <v>59.41</v>
      </c>
      <c r="F50" t="s">
        <v>152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202</v>
      </c>
    </row>
    <row r="3" ht="12.75">
      <c r="A3" s="2" t="s">
        <v>76</v>
      </c>
    </row>
    <row r="5" spans="1:2" ht="12.75">
      <c r="A5" t="s">
        <v>208</v>
      </c>
      <c r="B5">
        <v>1.5</v>
      </c>
    </row>
    <row r="6" spans="1:3" ht="12.75">
      <c r="A6" t="s">
        <v>79</v>
      </c>
      <c r="B6">
        <v>100</v>
      </c>
      <c r="C6" t="s">
        <v>35</v>
      </c>
    </row>
    <row r="7" spans="1:5" ht="12.75">
      <c r="A7" t="s">
        <v>5</v>
      </c>
      <c r="B7">
        <v>11680</v>
      </c>
      <c r="C7" t="s">
        <v>189</v>
      </c>
      <c r="E7" t="s">
        <v>201</v>
      </c>
    </row>
    <row r="8" spans="1:4" ht="12.75">
      <c r="A8" t="s">
        <v>80</v>
      </c>
      <c r="B8">
        <f>(B7*B6)/D8</f>
        <v>1168</v>
      </c>
      <c r="C8" t="s">
        <v>81</v>
      </c>
      <c r="D8">
        <v>1000</v>
      </c>
    </row>
    <row r="10" spans="1:3" ht="12.75">
      <c r="A10" t="s">
        <v>172</v>
      </c>
      <c r="B10">
        <v>0</v>
      </c>
      <c r="C10" t="s">
        <v>25</v>
      </c>
    </row>
    <row r="11" spans="1:3" ht="12.75">
      <c r="A11" t="s">
        <v>172</v>
      </c>
      <c r="B11">
        <v>0</v>
      </c>
      <c r="C11" t="s">
        <v>81</v>
      </c>
    </row>
    <row r="12" spans="1:3" ht="12.75">
      <c r="A12" t="s">
        <v>27</v>
      </c>
      <c r="B12">
        <v>0</v>
      </c>
      <c r="C12" t="s">
        <v>35</v>
      </c>
    </row>
    <row r="14" spans="1:3" ht="12.75">
      <c r="A14" t="s">
        <v>77</v>
      </c>
      <c r="B14">
        <f>B8-B11</f>
        <v>1168</v>
      </c>
      <c r="C14" t="s">
        <v>81</v>
      </c>
    </row>
    <row r="16" ht="12.75">
      <c r="A16" t="s">
        <v>207</v>
      </c>
    </row>
    <row r="17" spans="2:4" ht="12.75">
      <c r="B17" t="s">
        <v>86</v>
      </c>
      <c r="C17" t="s">
        <v>101</v>
      </c>
      <c r="D17" t="s">
        <v>102</v>
      </c>
    </row>
    <row r="18" spans="2:6" ht="12.75">
      <c r="B18">
        <v>4.3</v>
      </c>
      <c r="F18" t="s">
        <v>203</v>
      </c>
    </row>
    <row r="19" spans="2:6" ht="12.75">
      <c r="B19">
        <v>8</v>
      </c>
      <c r="C19">
        <v>100</v>
      </c>
      <c r="D19">
        <v>48</v>
      </c>
      <c r="F19" t="s">
        <v>204</v>
      </c>
    </row>
    <row r="20" spans="2:6" ht="12.75">
      <c r="B20">
        <v>8.75</v>
      </c>
      <c r="C20">
        <v>119</v>
      </c>
      <c r="D20">
        <f>(B6*13)/E20</f>
        <v>61.904761904761905</v>
      </c>
      <c r="E20">
        <v>21</v>
      </c>
      <c r="F20" t="s">
        <v>205</v>
      </c>
    </row>
    <row r="21" spans="3:6" ht="12.75">
      <c r="C21">
        <v>148</v>
      </c>
      <c r="F21" t="s">
        <v>206</v>
      </c>
    </row>
    <row r="22" spans="2:4" ht="12.75">
      <c r="B22">
        <f>AVERAGE(B18:B20)</f>
        <v>7.016666666666667</v>
      </c>
      <c r="C22">
        <f>AVERAGE(C19:C21)</f>
        <v>122.33333333333333</v>
      </c>
      <c r="D22">
        <f>AVERAGE(D19:D20)</f>
        <v>54.95238095238095</v>
      </c>
    </row>
    <row r="26" spans="1:6" ht="12.75">
      <c r="A26" t="s">
        <v>82</v>
      </c>
      <c r="B26">
        <f>D22</f>
        <v>54.95238095238095</v>
      </c>
      <c r="E26" s="3"/>
      <c r="F26" s="5"/>
    </row>
    <row r="27" spans="1:3" ht="12.75">
      <c r="A27" t="s">
        <v>78</v>
      </c>
      <c r="B27">
        <f>B26*E20</f>
        <v>1154</v>
      </c>
      <c r="C27" t="s">
        <v>26</v>
      </c>
    </row>
    <row r="28" spans="1:2" ht="12.75">
      <c r="A28" t="s">
        <v>85</v>
      </c>
      <c r="B28">
        <f>B27*B5</f>
        <v>1731</v>
      </c>
    </row>
    <row r="29" ht="12.75">
      <c r="A29" t="s">
        <v>84</v>
      </c>
    </row>
    <row r="30" spans="1:6" ht="12.75">
      <c r="A30" t="s">
        <v>88</v>
      </c>
      <c r="B30">
        <v>-1010</v>
      </c>
      <c r="C30" t="s">
        <v>39</v>
      </c>
      <c r="F30" t="s">
        <v>147</v>
      </c>
    </row>
    <row r="31" spans="2:6" ht="12.75">
      <c r="B31">
        <f>B30*D31</f>
        <v>-3706.7</v>
      </c>
      <c r="C31" t="s">
        <v>40</v>
      </c>
      <c r="D31">
        <v>3.67</v>
      </c>
      <c r="F31" t="s">
        <v>209</v>
      </c>
    </row>
    <row r="32" spans="1:6" ht="12.75">
      <c r="A32" t="s">
        <v>210</v>
      </c>
      <c r="B32">
        <f>Woodland!C11*D32*E32*F32</f>
        <v>-723.4304000000002</v>
      </c>
      <c r="C32" t="s">
        <v>26</v>
      </c>
      <c r="D32">
        <v>0.1</v>
      </c>
      <c r="E32">
        <v>0.88</v>
      </c>
      <c r="F32">
        <v>0.8</v>
      </c>
    </row>
    <row r="33" spans="1:2" ht="12.75">
      <c r="A33" t="s">
        <v>32</v>
      </c>
      <c r="B33">
        <f>B12+B28+B31+B32</f>
        <v>-2699.1304</v>
      </c>
    </row>
    <row r="35" spans="1:3" ht="12.75">
      <c r="A35" t="s">
        <v>30</v>
      </c>
      <c r="C35">
        <f>B8</f>
        <v>1168</v>
      </c>
    </row>
    <row r="36" spans="1:3" ht="12.75">
      <c r="A36" t="s">
        <v>31</v>
      </c>
      <c r="C36">
        <f>B14</f>
        <v>1168</v>
      </c>
    </row>
    <row r="37" spans="1:5" ht="12.75">
      <c r="A37" t="s">
        <v>32</v>
      </c>
      <c r="C37">
        <f>B33/E37</f>
        <v>-2.6991304</v>
      </c>
      <c r="E37">
        <v>1000</v>
      </c>
    </row>
    <row r="38" spans="1:3" ht="12.75">
      <c r="A38" t="s">
        <v>43</v>
      </c>
      <c r="C38">
        <f>B10</f>
        <v>0</v>
      </c>
    </row>
    <row r="39" spans="1:3" ht="12.75">
      <c r="A39" t="s">
        <v>73</v>
      </c>
      <c r="C39">
        <f>C35*C37</f>
        <v>-3152.5843072000002</v>
      </c>
    </row>
    <row r="40" spans="1:3" ht="12.75">
      <c r="A40" t="s">
        <v>45</v>
      </c>
      <c r="C40" t="e">
        <f>C35/C38</f>
        <v>#DIV/0!</v>
      </c>
    </row>
    <row r="43" ht="12.75">
      <c r="A43" s="2" t="s">
        <v>86</v>
      </c>
    </row>
    <row r="45" spans="1:2" ht="12.75">
      <c r="A45" t="s">
        <v>211</v>
      </c>
      <c r="B45">
        <v>7</v>
      </c>
    </row>
    <row r="46" spans="1:2" ht="12.75">
      <c r="A46" t="s">
        <v>212</v>
      </c>
      <c r="B46">
        <v>12</v>
      </c>
    </row>
    <row r="47" spans="1:5" ht="12.75">
      <c r="A47" t="s">
        <v>79</v>
      </c>
      <c r="B47">
        <v>212</v>
      </c>
      <c r="C47" t="s">
        <v>87</v>
      </c>
      <c r="E47" t="s">
        <v>213</v>
      </c>
    </row>
    <row r="48" spans="1:5" ht="12.75">
      <c r="A48" t="s">
        <v>5</v>
      </c>
      <c r="B48">
        <v>13770</v>
      </c>
      <c r="C48" t="s">
        <v>189</v>
      </c>
      <c r="E48" t="s">
        <v>142</v>
      </c>
    </row>
    <row r="49" spans="1:4" ht="12.75">
      <c r="A49" t="s">
        <v>80</v>
      </c>
      <c r="B49">
        <f>(B48*B47)/D49</f>
        <v>2919.24</v>
      </c>
      <c r="C49" t="s">
        <v>81</v>
      </c>
      <c r="D49">
        <v>1000</v>
      </c>
    </row>
    <row r="51" spans="1:3" ht="12.75">
      <c r="A51" t="s">
        <v>172</v>
      </c>
      <c r="B51">
        <v>0</v>
      </c>
      <c r="C51" t="s">
        <v>25</v>
      </c>
    </row>
    <row r="52" spans="1:3" ht="12.75">
      <c r="A52" t="s">
        <v>172</v>
      </c>
      <c r="B52">
        <v>0</v>
      </c>
      <c r="C52" t="s">
        <v>81</v>
      </c>
    </row>
    <row r="53" spans="1:3" ht="12.75">
      <c r="A53" t="s">
        <v>27</v>
      </c>
      <c r="B53">
        <v>0</v>
      </c>
      <c r="C53" t="s">
        <v>35</v>
      </c>
    </row>
    <row r="55" spans="1:3" ht="12.75">
      <c r="A55" t="s">
        <v>77</v>
      </c>
      <c r="B55">
        <f>B49-B52</f>
        <v>2919.24</v>
      </c>
      <c r="C55" t="s">
        <v>81</v>
      </c>
    </row>
    <row r="57" ht="12.75">
      <c r="A57" t="s">
        <v>207</v>
      </c>
    </row>
    <row r="58" spans="2:4" ht="12.75">
      <c r="B58" t="s">
        <v>86</v>
      </c>
      <c r="C58" t="s">
        <v>101</v>
      </c>
      <c r="D58" t="s">
        <v>102</v>
      </c>
    </row>
    <row r="59" spans="2:6" ht="12.75">
      <c r="B59">
        <v>4.3</v>
      </c>
      <c r="F59" t="s">
        <v>203</v>
      </c>
    </row>
    <row r="60" spans="2:6" ht="12.75">
      <c r="B60">
        <v>8</v>
      </c>
      <c r="C60">
        <v>100</v>
      </c>
      <c r="D60">
        <v>48</v>
      </c>
      <c r="F60" t="s">
        <v>204</v>
      </c>
    </row>
    <row r="61" spans="2:6" ht="12.75">
      <c r="B61">
        <v>8.75</v>
      </c>
      <c r="C61">
        <v>119</v>
      </c>
      <c r="D61">
        <f>(B47*13)/E61</f>
        <v>131.23809523809524</v>
      </c>
      <c r="E61">
        <v>21</v>
      </c>
      <c r="F61" t="s">
        <v>205</v>
      </c>
    </row>
    <row r="62" spans="3:6" ht="12.75">
      <c r="C62">
        <v>148</v>
      </c>
      <c r="F62" t="s">
        <v>206</v>
      </c>
    </row>
    <row r="63" spans="2:4" ht="12.75">
      <c r="B63">
        <f>AVERAGE(B59:B61)</f>
        <v>7.016666666666667</v>
      </c>
      <c r="C63">
        <f>AVERAGE(C60:C62)</f>
        <v>122.33333333333333</v>
      </c>
      <c r="D63">
        <f>AVERAGE(D60:D61)</f>
        <v>89.61904761904762</v>
      </c>
    </row>
    <row r="67" spans="1:6" ht="12.75">
      <c r="A67" t="s">
        <v>82</v>
      </c>
      <c r="B67">
        <f>B63</f>
        <v>7.016666666666667</v>
      </c>
      <c r="E67" s="3"/>
      <c r="F67" s="5"/>
    </row>
    <row r="68" spans="1:3" ht="12.75">
      <c r="A68" t="s">
        <v>78</v>
      </c>
      <c r="B68">
        <f>B67*E61</f>
        <v>147.35</v>
      </c>
      <c r="C68" t="s">
        <v>26</v>
      </c>
    </row>
    <row r="69" spans="1:5" ht="12.75">
      <c r="A69" t="s">
        <v>85</v>
      </c>
      <c r="B69">
        <f>(B68*B45)+((B68*B46*D69))</f>
        <v>2357.6</v>
      </c>
      <c r="D69">
        <v>0.75</v>
      </c>
      <c r="E69" t="s">
        <v>214</v>
      </c>
    </row>
    <row r="70" ht="12.75">
      <c r="A70" t="s">
        <v>84</v>
      </c>
    </row>
    <row r="71" spans="1:6" ht="12.75">
      <c r="A71" t="s">
        <v>88</v>
      </c>
      <c r="B71">
        <v>-1010</v>
      </c>
      <c r="C71" t="s">
        <v>39</v>
      </c>
      <c r="F71" t="s">
        <v>147</v>
      </c>
    </row>
    <row r="72" spans="2:6" ht="12.75">
      <c r="B72">
        <f>B71*D72</f>
        <v>-3706.7</v>
      </c>
      <c r="C72" t="s">
        <v>40</v>
      </c>
      <c r="D72">
        <v>3.67</v>
      </c>
      <c r="F72" t="s">
        <v>209</v>
      </c>
    </row>
    <row r="73" spans="1:6" ht="12.75">
      <c r="A73" t="s">
        <v>210</v>
      </c>
      <c r="B73">
        <f>Woodland!C11*D73*E73*F73</f>
        <v>-723.4304000000002</v>
      </c>
      <c r="C73" t="s">
        <v>26</v>
      </c>
      <c r="D73">
        <v>0.1</v>
      </c>
      <c r="E73">
        <v>0.88</v>
      </c>
      <c r="F73">
        <v>0.8</v>
      </c>
    </row>
    <row r="74" spans="1:2" ht="12.75">
      <c r="A74" t="s">
        <v>32</v>
      </c>
      <c r="B74">
        <f>B53+B69+B72+B73</f>
        <v>-2072.5304</v>
      </c>
    </row>
    <row r="76" spans="1:4" ht="12.75">
      <c r="A76" t="s">
        <v>30</v>
      </c>
      <c r="C76">
        <f>B49</f>
        <v>2919.24</v>
      </c>
      <c r="D76" t="s">
        <v>81</v>
      </c>
    </row>
    <row r="77" spans="1:4" ht="12.75">
      <c r="A77" t="s">
        <v>31</v>
      </c>
      <c r="C77">
        <f>B55</f>
        <v>2919.24</v>
      </c>
      <c r="D77" t="s">
        <v>81</v>
      </c>
    </row>
    <row r="78" spans="1:5" ht="12.75">
      <c r="A78" t="s">
        <v>32</v>
      </c>
      <c r="C78">
        <f>B74/E78</f>
        <v>-2.0725304</v>
      </c>
      <c r="D78" t="s">
        <v>193</v>
      </c>
      <c r="E78">
        <v>1000</v>
      </c>
    </row>
    <row r="79" spans="1:4" ht="12.75">
      <c r="A79" t="s">
        <v>43</v>
      </c>
      <c r="C79">
        <f>B51</f>
        <v>0</v>
      </c>
      <c r="D79" t="s">
        <v>25</v>
      </c>
    </row>
    <row r="80" spans="1:4" ht="12.75">
      <c r="A80" t="s">
        <v>73</v>
      </c>
      <c r="C80">
        <f>C76*C78</f>
        <v>-6050.213644896</v>
      </c>
      <c r="D80" t="s">
        <v>194</v>
      </c>
    </row>
    <row r="81" spans="1:4" ht="12.75">
      <c r="A81" t="s">
        <v>45</v>
      </c>
      <c r="C81" t="e">
        <f>C76/C79</f>
        <v>#DIV/0!</v>
      </c>
      <c r="D81" t="s">
        <v>156</v>
      </c>
    </row>
    <row r="84" ht="12.75">
      <c r="A84" s="2" t="s">
        <v>215</v>
      </c>
    </row>
    <row r="86" spans="1:3" ht="12.75">
      <c r="A86" t="s">
        <v>30</v>
      </c>
      <c r="C86">
        <f>(C35+C76)/2</f>
        <v>2043.62</v>
      </c>
    </row>
    <row r="87" spans="1:3" ht="12.75">
      <c r="A87" t="s">
        <v>31</v>
      </c>
      <c r="C87">
        <f>(C36+C77)/2</f>
        <v>2043.62</v>
      </c>
    </row>
    <row r="88" spans="1:3" ht="12.75">
      <c r="A88" t="s">
        <v>32</v>
      </c>
      <c r="C88">
        <f>(C37+C78)/2</f>
        <v>-2.3858304</v>
      </c>
    </row>
    <row r="89" spans="1:3" ht="12.75">
      <c r="A89" t="s">
        <v>43</v>
      </c>
      <c r="C89">
        <f>(C38+C79)/2</f>
        <v>0</v>
      </c>
    </row>
    <row r="90" spans="1:3" ht="12.75">
      <c r="A90" t="s">
        <v>73</v>
      </c>
      <c r="C90">
        <f>C86*C88</f>
        <v>-4875.730722048</v>
      </c>
    </row>
    <row r="91" spans="1:3" ht="12.75">
      <c r="A91" t="s">
        <v>45</v>
      </c>
      <c r="C91" t="e">
        <f>C86/C89</f>
        <v>#DIV/0!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90</v>
      </c>
    </row>
    <row r="2" ht="12.75">
      <c r="A2" s="2"/>
    </row>
    <row r="3" ht="12.75">
      <c r="A3" s="4" t="s">
        <v>216</v>
      </c>
    </row>
    <row r="4" spans="1:3" ht="12.75">
      <c r="A4" s="3" t="s">
        <v>91</v>
      </c>
      <c r="B4">
        <v>10</v>
      </c>
      <c r="C4" t="s">
        <v>92</v>
      </c>
    </row>
    <row r="5" spans="1:3" ht="12.75">
      <c r="A5" s="2"/>
      <c r="B5">
        <v>25</v>
      </c>
      <c r="C5" t="s">
        <v>93</v>
      </c>
    </row>
    <row r="6" spans="1:6" ht="12.75">
      <c r="A6" s="3" t="s">
        <v>94</v>
      </c>
      <c r="B6">
        <f>((B4*D6)+(B5*E6))/F6</f>
        <v>21</v>
      </c>
      <c r="D6">
        <v>5</v>
      </c>
      <c r="E6">
        <v>40</v>
      </c>
      <c r="F6">
        <v>50</v>
      </c>
    </row>
    <row r="7" spans="1:3" ht="12.75">
      <c r="A7" s="2"/>
      <c r="B7">
        <v>100</v>
      </c>
      <c r="C7" t="s">
        <v>95</v>
      </c>
    </row>
    <row r="8" spans="1:2" ht="12.75">
      <c r="A8" s="3" t="s">
        <v>74</v>
      </c>
      <c r="B8">
        <f>B6*B7</f>
        <v>2100</v>
      </c>
    </row>
    <row r="9" spans="1:4" ht="12.75">
      <c r="A9" s="3" t="s">
        <v>5</v>
      </c>
      <c r="B9">
        <v>7200</v>
      </c>
      <c r="C9" t="s">
        <v>189</v>
      </c>
      <c r="D9" t="s">
        <v>142</v>
      </c>
    </row>
    <row r="10" spans="1:7" ht="12.75">
      <c r="A10" s="3" t="s">
        <v>5</v>
      </c>
      <c r="B10">
        <f>B8*B9/G10</f>
        <v>15120</v>
      </c>
      <c r="G10">
        <v>1000</v>
      </c>
    </row>
    <row r="11" ht="12.75">
      <c r="A11" s="3"/>
    </row>
    <row r="12" ht="12.75">
      <c r="A12" s="3"/>
    </row>
    <row r="13" spans="1:3" ht="12.75">
      <c r="A13" s="3" t="s">
        <v>96</v>
      </c>
      <c r="B13">
        <v>2000</v>
      </c>
      <c r="C13" t="s">
        <v>97</v>
      </c>
    </row>
    <row r="14" spans="1:5" ht="12.75">
      <c r="A14" s="3"/>
      <c r="B14">
        <f>B13*D14/E14</f>
        <v>1800</v>
      </c>
      <c r="C14" t="s">
        <v>95</v>
      </c>
      <c r="D14">
        <v>45</v>
      </c>
      <c r="E14">
        <v>50</v>
      </c>
    </row>
    <row r="15" spans="1:4" ht="12.75">
      <c r="A15" s="3"/>
      <c r="B15">
        <v>15700</v>
      </c>
      <c r="D15" t="s">
        <v>142</v>
      </c>
    </row>
    <row r="16" spans="1:7" ht="12.75">
      <c r="A16" s="3" t="s">
        <v>5</v>
      </c>
      <c r="B16">
        <f>(B14*B15)/G16</f>
        <v>28260</v>
      </c>
      <c r="G16">
        <v>1000</v>
      </c>
    </row>
    <row r="17" ht="12.75">
      <c r="A17" s="3"/>
    </row>
    <row r="18" ht="12.75">
      <c r="A18" s="3"/>
    </row>
    <row r="19" spans="1:3" ht="12.75">
      <c r="A19" s="3" t="s">
        <v>98</v>
      </c>
      <c r="B19">
        <v>5</v>
      </c>
      <c r="C19" t="s">
        <v>99</v>
      </c>
    </row>
    <row r="20" spans="1:3" ht="12.75">
      <c r="A20" s="3"/>
      <c r="B20">
        <v>30</v>
      </c>
      <c r="C20" t="s">
        <v>100</v>
      </c>
    </row>
    <row r="21" spans="1:6" ht="12.75">
      <c r="A21" s="3" t="s">
        <v>94</v>
      </c>
      <c r="B21">
        <f>((B19*D21)+(B20*E21))/F21</f>
        <v>24.5</v>
      </c>
      <c r="D21">
        <v>5</v>
      </c>
      <c r="E21">
        <v>40</v>
      </c>
      <c r="F21">
        <v>50</v>
      </c>
    </row>
    <row r="22" spans="1:3" ht="12.75">
      <c r="A22" s="3"/>
      <c r="B22">
        <v>69</v>
      </c>
      <c r="C22" t="s">
        <v>95</v>
      </c>
    </row>
    <row r="23" spans="1:2" ht="12.75">
      <c r="A23" s="3" t="s">
        <v>74</v>
      </c>
      <c r="B23">
        <f>B21*B22</f>
        <v>1690.5</v>
      </c>
    </row>
    <row r="24" spans="1:4" ht="12.75">
      <c r="A24" s="3"/>
      <c r="B24">
        <v>21660</v>
      </c>
      <c r="D24" t="s">
        <v>142</v>
      </c>
    </row>
    <row r="25" spans="1:7" ht="12.75">
      <c r="A25" s="3" t="s">
        <v>5</v>
      </c>
      <c r="B25">
        <f>B23*B24/G25</f>
        <v>36616.23</v>
      </c>
      <c r="G25">
        <v>1000</v>
      </c>
    </row>
    <row r="26" ht="12.75">
      <c r="A26" s="3"/>
    </row>
    <row r="27" spans="1:8" ht="12.75">
      <c r="A27" s="3" t="s">
        <v>36</v>
      </c>
      <c r="B27">
        <f>(B10*F27)+(B16*E27)+(B25*E27)</f>
        <v>28974.492000000002</v>
      </c>
      <c r="C27" t="s">
        <v>81</v>
      </c>
      <c r="E27">
        <v>0.4</v>
      </c>
      <c r="F27">
        <v>0.2</v>
      </c>
      <c r="H27" t="s">
        <v>217</v>
      </c>
    </row>
    <row r="28" ht="12.75">
      <c r="A28" s="3"/>
    </row>
    <row r="30" spans="1:4" ht="12.75">
      <c r="A30" t="s">
        <v>172</v>
      </c>
      <c r="C30">
        <v>25</v>
      </c>
      <c r="D30" t="s">
        <v>75</v>
      </c>
    </row>
    <row r="31" spans="1:6" ht="12.75">
      <c r="A31" t="s">
        <v>218</v>
      </c>
      <c r="C31">
        <f>C30*E31</f>
        <v>910</v>
      </c>
      <c r="D31" t="s">
        <v>81</v>
      </c>
      <c r="E31">
        <v>36.4</v>
      </c>
      <c r="F31" s="3" t="s">
        <v>154</v>
      </c>
    </row>
    <row r="32" spans="1:3" ht="12.75">
      <c r="A32" t="s">
        <v>77</v>
      </c>
      <c r="C32">
        <f>B27-C31</f>
        <v>28064.492000000002</v>
      </c>
    </row>
    <row r="34" ht="12.75">
      <c r="A34" s="4" t="s">
        <v>22</v>
      </c>
    </row>
    <row r="35" spans="1:6" ht="12.75">
      <c r="A35" t="s">
        <v>27</v>
      </c>
      <c r="C35">
        <f>C30*E35</f>
        <v>65.5</v>
      </c>
      <c r="D35" t="s">
        <v>219</v>
      </c>
      <c r="E35">
        <v>2.62</v>
      </c>
      <c r="F35" t="s">
        <v>89</v>
      </c>
    </row>
    <row r="36" spans="1:6" ht="12.75">
      <c r="A36" t="s">
        <v>38</v>
      </c>
      <c r="C36">
        <f>Pasture!B31</f>
        <v>-3706.7</v>
      </c>
      <c r="D36" t="s">
        <v>40</v>
      </c>
      <c r="F36" t="s">
        <v>147</v>
      </c>
    </row>
    <row r="37" spans="1:6" ht="12.75">
      <c r="A37" t="s">
        <v>46</v>
      </c>
      <c r="C37">
        <f>Woodland!C11*E37</f>
        <v>-2055.2000000000003</v>
      </c>
      <c r="D37" t="s">
        <v>40</v>
      </c>
      <c r="E37">
        <v>0.2</v>
      </c>
      <c r="F37" t="s">
        <v>147</v>
      </c>
    </row>
    <row r="38" spans="1:3" ht="12.75">
      <c r="A38" t="s">
        <v>29</v>
      </c>
      <c r="C38">
        <f>C35+C36+C37</f>
        <v>-5696.4</v>
      </c>
    </row>
    <row r="40" spans="1:4" ht="12.75">
      <c r="A40" t="s">
        <v>30</v>
      </c>
      <c r="C40">
        <f>B27</f>
        <v>28974.492000000002</v>
      </c>
      <c r="D40" t="s">
        <v>81</v>
      </c>
    </row>
    <row r="41" spans="1:4" ht="12.75">
      <c r="A41" t="s">
        <v>31</v>
      </c>
      <c r="C41">
        <f>C32</f>
        <v>28064.492000000002</v>
      </c>
      <c r="D41" t="s">
        <v>81</v>
      </c>
    </row>
    <row r="42" spans="1:5" ht="12.75">
      <c r="A42" t="s">
        <v>32</v>
      </c>
      <c r="C42">
        <f>C38/E42</f>
        <v>-5.6964</v>
      </c>
      <c r="D42" t="s">
        <v>193</v>
      </c>
      <c r="E42">
        <v>1000</v>
      </c>
    </row>
    <row r="43" spans="1:4" ht="12.75">
      <c r="A43" t="s">
        <v>43</v>
      </c>
      <c r="C43">
        <f>C30</f>
        <v>25</v>
      </c>
      <c r="D43" t="s">
        <v>25</v>
      </c>
    </row>
    <row r="44" spans="1:4" ht="12.75">
      <c r="A44" t="s">
        <v>73</v>
      </c>
      <c r="C44">
        <f>C40*C42</f>
        <v>-165050.2962288</v>
      </c>
      <c r="D44" t="s">
        <v>194</v>
      </c>
    </row>
    <row r="45" spans="1:4" ht="12.75">
      <c r="A45" t="s">
        <v>45</v>
      </c>
      <c r="C45">
        <f>C40/C43</f>
        <v>1158.9796800000001</v>
      </c>
      <c r="D45" t="s">
        <v>156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220</v>
      </c>
    </row>
    <row r="3" spans="1:4" ht="12.75">
      <c r="A3" t="s">
        <v>30</v>
      </c>
      <c r="C3">
        <f>Pasture!C86+Nuts!C40</f>
        <v>31018.112</v>
      </c>
      <c r="D3" t="s">
        <v>81</v>
      </c>
    </row>
    <row r="4" spans="1:4" ht="12.75">
      <c r="A4" t="s">
        <v>31</v>
      </c>
      <c r="C4">
        <f>Pasture!C87+Nuts!C41</f>
        <v>30108.112</v>
      </c>
      <c r="D4" t="s">
        <v>81</v>
      </c>
    </row>
    <row r="5" spans="1:5" ht="12.75">
      <c r="A5" t="s">
        <v>32</v>
      </c>
      <c r="C5">
        <f>((0.5*Pasture!B28)+(0.5*Pasture!B69)+Nuts!C36+Nuts!C37)/E5</f>
        <v>-3.7176000000000005</v>
      </c>
      <c r="D5" t="s">
        <v>193</v>
      </c>
      <c r="E5">
        <v>1000</v>
      </c>
    </row>
    <row r="6" spans="1:4" ht="12.75">
      <c r="A6" t="s">
        <v>43</v>
      </c>
      <c r="C6">
        <v>0</v>
      </c>
      <c r="D6" t="s">
        <v>25</v>
      </c>
    </row>
    <row r="7" spans="1:4" ht="12.75">
      <c r="A7" t="s">
        <v>73</v>
      </c>
      <c r="C7">
        <f>C3*C5</f>
        <v>-115312.93317120001</v>
      </c>
      <c r="D7" t="s">
        <v>194</v>
      </c>
    </row>
    <row r="8" spans="1:4" ht="12.75">
      <c r="A8" t="s">
        <v>45</v>
      </c>
      <c r="C8" t="e">
        <f>C3/C6</f>
        <v>#DIV/0!</v>
      </c>
      <c r="D8" t="s">
        <v>156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21</v>
      </c>
    </row>
    <row r="3" spans="1:4" ht="12.75">
      <c r="A3" t="s">
        <v>34</v>
      </c>
      <c r="C3">
        <v>50</v>
      </c>
      <c r="D3" t="s">
        <v>35</v>
      </c>
    </row>
    <row r="4" spans="1:6" ht="12.75">
      <c r="A4" t="s">
        <v>5</v>
      </c>
      <c r="C4">
        <v>13970</v>
      </c>
      <c r="D4" t="s">
        <v>1</v>
      </c>
      <c r="F4" t="s">
        <v>221</v>
      </c>
    </row>
    <row r="5" spans="1:5" ht="12.75">
      <c r="A5" t="s">
        <v>36</v>
      </c>
      <c r="C5">
        <f>C3*C4/E5</f>
        <v>698.5</v>
      </c>
      <c r="D5" t="s">
        <v>81</v>
      </c>
      <c r="E5">
        <v>1000</v>
      </c>
    </row>
    <row r="8" spans="1:6" ht="12.75">
      <c r="A8" t="s">
        <v>225</v>
      </c>
      <c r="C8">
        <v>-702</v>
      </c>
      <c r="D8" t="s">
        <v>39</v>
      </c>
      <c r="F8" t="s">
        <v>222</v>
      </c>
    </row>
    <row r="9" spans="1:5" ht="12.75">
      <c r="A9" t="s">
        <v>224</v>
      </c>
      <c r="C9">
        <f>C8*E9</f>
        <v>-2576.34</v>
      </c>
      <c r="D9" t="s">
        <v>40</v>
      </c>
      <c r="E9">
        <v>3.67</v>
      </c>
    </row>
    <row r="10" spans="1:4" ht="12.75">
      <c r="A10" t="s">
        <v>226</v>
      </c>
      <c r="C10">
        <v>-2800</v>
      </c>
      <c r="D10" t="s">
        <v>39</v>
      </c>
    </row>
    <row r="11" spans="1:6" ht="12.75">
      <c r="A11" t="s">
        <v>227</v>
      </c>
      <c r="C11">
        <f>C10*E11</f>
        <v>-10276</v>
      </c>
      <c r="E11">
        <v>3.67</v>
      </c>
      <c r="F11" t="s">
        <v>222</v>
      </c>
    </row>
    <row r="12" spans="1:3" ht="12.75">
      <c r="A12" t="s">
        <v>223</v>
      </c>
      <c r="C12">
        <f>C9+C11</f>
        <v>-12852.34</v>
      </c>
    </row>
    <row r="14" spans="1:4" ht="12.75">
      <c r="A14" t="s">
        <v>30</v>
      </c>
      <c r="C14">
        <f>C5</f>
        <v>698.5</v>
      </c>
      <c r="D14" t="s">
        <v>81</v>
      </c>
    </row>
    <row r="15" spans="1:4" ht="12.75">
      <c r="A15" t="s">
        <v>31</v>
      </c>
      <c r="C15">
        <f>C5</f>
        <v>698.5</v>
      </c>
      <c r="D15" t="s">
        <v>81</v>
      </c>
    </row>
    <row r="16" spans="1:5" ht="12.75">
      <c r="A16" t="s">
        <v>32</v>
      </c>
      <c r="C16">
        <f>C12/E16</f>
        <v>-12.85234</v>
      </c>
      <c r="D16" t="s">
        <v>193</v>
      </c>
      <c r="E16">
        <v>1000</v>
      </c>
    </row>
    <row r="17" spans="1:4" ht="12.75">
      <c r="A17" t="s">
        <v>43</v>
      </c>
      <c r="C17">
        <v>0</v>
      </c>
      <c r="D17" t="s">
        <v>25</v>
      </c>
    </row>
    <row r="18" spans="1:4" ht="12.75">
      <c r="A18" t="s">
        <v>73</v>
      </c>
      <c r="C18">
        <f>C14*C16</f>
        <v>-8977.35949</v>
      </c>
      <c r="D18" t="s">
        <v>194</v>
      </c>
    </row>
    <row r="19" spans="1:4" ht="12.75">
      <c r="A19" t="s">
        <v>45</v>
      </c>
      <c r="C19" t="e">
        <f>C14/C17</f>
        <v>#DIV/0!</v>
      </c>
      <c r="D19" t="s">
        <v>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System56</cp:lastModifiedBy>
  <cp:lastPrinted>2009-12-21T15:12:20Z</cp:lastPrinted>
  <dcterms:created xsi:type="dcterms:W3CDTF">2009-11-03T21:33:08Z</dcterms:created>
  <dcterms:modified xsi:type="dcterms:W3CDTF">2010-04-06T10:24:17Z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